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activeX/activeX1.xml" ContentType="application/vnd.ms-office.activeX+xml"/>
  <Override PartName="/xl/volatileDependencies.xml" ContentType="application/vnd.openxmlformats-officedocument.spreadsheetml.volatileDependenc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120" windowWidth="19155" windowHeight="8475"/>
  </bookViews>
  <sheets>
    <sheet name="IBD 100 1 " sheetId="1" r:id="rId1"/>
    <sheet name="Option Lookup" sheetId="2" r:id="rId2"/>
  </sheets>
  <externalReferences>
    <externalReference r:id="rId3"/>
    <externalReference r:id="rId4"/>
  </externalReferences>
  <definedNames>
    <definedName name="_xlnm._FilterDatabase" localSheetId="0" hidden="1">'IBD 100 1 '!$A$1:$AK$79</definedName>
    <definedName name="Duration">'[1]Option Lookup'!$H$4:$K$16</definedName>
    <definedName name="Offset">'[2]Option Lookup'!$C$19:$D$21</definedName>
    <definedName name="Options">'[2]Option Lookup'!$C$5:$F$16</definedName>
  </definedNames>
  <calcPr calcId="125725"/>
</workbook>
</file>

<file path=xl/calcChain.xml><?xml version="1.0" encoding="utf-8"?>
<calcChain xmlns="http://schemas.openxmlformats.org/spreadsheetml/2006/main">
  <c r="E14" i="1"/>
  <c r="H14"/>
  <c r="C47"/>
  <c r="C4"/>
  <c r="C42"/>
  <c r="C9"/>
  <c r="C12"/>
  <c r="C23"/>
  <c r="C18"/>
  <c r="C20"/>
  <c r="C37"/>
  <c r="C26"/>
  <c r="C21"/>
  <c r="C53"/>
  <c r="C25"/>
  <c r="C49"/>
  <c r="C52"/>
  <c r="C76"/>
  <c r="C64"/>
  <c r="C65"/>
  <c r="C77"/>
  <c r="C3"/>
  <c r="C19"/>
  <c r="C8"/>
  <c r="C35"/>
  <c r="C15"/>
  <c r="C17"/>
  <c r="C51"/>
  <c r="C31"/>
  <c r="C28"/>
  <c r="C40"/>
  <c r="C36"/>
  <c r="C48"/>
  <c r="C55"/>
  <c r="C57"/>
  <c r="C58"/>
  <c r="C71"/>
  <c r="C61"/>
  <c r="C67"/>
  <c r="C70"/>
  <c r="C79"/>
  <c r="C72"/>
  <c r="C5"/>
  <c r="C7"/>
  <c r="C11"/>
  <c r="C22"/>
  <c r="C29"/>
  <c r="C16"/>
  <c r="C68"/>
  <c r="C30"/>
  <c r="C41"/>
  <c r="C33"/>
  <c r="C27"/>
  <c r="C44"/>
  <c r="C38"/>
  <c r="C46"/>
  <c r="C56"/>
  <c r="C62"/>
  <c r="C69"/>
  <c r="C74"/>
  <c r="C2"/>
  <c r="C34"/>
  <c r="C14"/>
  <c r="C13"/>
  <c r="C10"/>
  <c r="C39"/>
  <c r="C54"/>
  <c r="C6"/>
  <c r="C24"/>
  <c r="C45"/>
  <c r="C73"/>
  <c r="C50"/>
  <c r="C43"/>
  <c r="C32"/>
  <c r="C59"/>
  <c r="C63"/>
  <c r="C66"/>
  <c r="C60"/>
  <c r="C75"/>
  <c r="C78"/>
  <c r="I14" l="1"/>
  <c r="K14"/>
  <c r="E4"/>
  <c r="H4"/>
  <c r="J14"/>
  <c r="I4" l="1"/>
  <c r="K4"/>
  <c r="J4"/>
  <c r="E10" l="1"/>
  <c r="H10"/>
  <c r="I10" l="1"/>
  <c r="K10"/>
  <c r="J10"/>
  <c r="E8" l="1"/>
  <c r="H8"/>
  <c r="I8" l="1"/>
  <c r="K8"/>
  <c r="E75"/>
  <c r="H75"/>
  <c r="J8"/>
  <c r="I75" l="1"/>
  <c r="K75"/>
  <c r="E34"/>
  <c r="H34"/>
  <c r="J75"/>
  <c r="I34" l="1"/>
  <c r="K34"/>
  <c r="E36"/>
  <c r="H36"/>
  <c r="J34"/>
  <c r="I36" l="1"/>
  <c r="K36"/>
  <c r="E57"/>
  <c r="H57"/>
  <c r="J36"/>
  <c r="I57" l="1"/>
  <c r="K57"/>
  <c r="E65"/>
  <c r="H65"/>
  <c r="J57"/>
  <c r="I65" l="1"/>
  <c r="K65"/>
  <c r="E35"/>
  <c r="H35"/>
  <c r="J65"/>
  <c r="I35" l="1"/>
  <c r="K35"/>
  <c r="J35"/>
  <c r="E2" l="1"/>
  <c r="H2"/>
  <c r="I2" l="1"/>
  <c r="K2"/>
  <c r="E23"/>
  <c r="H23"/>
  <c r="J2"/>
  <c r="I23" l="1"/>
  <c r="K23"/>
  <c r="J23"/>
  <c r="E52" l="1"/>
  <c r="H52"/>
  <c r="I52" l="1"/>
  <c r="K52"/>
  <c r="E72"/>
  <c r="H72"/>
  <c r="J52"/>
  <c r="I72" l="1"/>
  <c r="K72"/>
  <c r="J72"/>
  <c r="E55" l="1"/>
  <c r="H55"/>
  <c r="I55" l="1"/>
  <c r="K55"/>
  <c r="E22"/>
  <c r="H22"/>
  <c r="J55"/>
  <c r="I22" l="1"/>
  <c r="K22"/>
  <c r="E28"/>
  <c r="H28"/>
  <c r="J22"/>
  <c r="I28" l="1"/>
  <c r="K28"/>
  <c r="E13"/>
  <c r="H13"/>
  <c r="J28"/>
  <c r="I13" l="1"/>
  <c r="K13"/>
  <c r="E26"/>
  <c r="H26"/>
  <c r="J13"/>
  <c r="I26" l="1"/>
  <c r="K26"/>
  <c r="E54"/>
  <c r="H54"/>
  <c r="J26"/>
  <c r="I54" l="1"/>
  <c r="K54"/>
  <c r="E37"/>
  <c r="H37"/>
  <c r="J54"/>
  <c r="I37" l="1"/>
  <c r="K37"/>
  <c r="E27"/>
  <c r="H27"/>
  <c r="J37"/>
  <c r="I27" l="1"/>
  <c r="K27"/>
  <c r="E46"/>
  <c r="H46"/>
  <c r="J27"/>
  <c r="I46" l="1"/>
  <c r="K46"/>
  <c r="E64"/>
  <c r="H64"/>
  <c r="J46"/>
  <c r="I64" l="1"/>
  <c r="K64"/>
  <c r="E24"/>
  <c r="H24"/>
  <c r="J64"/>
  <c r="I24" l="1"/>
  <c r="K24"/>
  <c r="E18"/>
  <c r="H18"/>
  <c r="J24"/>
  <c r="I18" l="1"/>
  <c r="K18"/>
  <c r="E38"/>
  <c r="H38"/>
  <c r="J18"/>
  <c r="I38" l="1"/>
  <c r="K38"/>
  <c r="E69"/>
  <c r="H69"/>
  <c r="J38"/>
  <c r="I69" l="1"/>
  <c r="K69"/>
  <c r="E62"/>
  <c r="H62"/>
  <c r="J69"/>
  <c r="I62" l="1"/>
  <c r="K62"/>
  <c r="E66"/>
  <c r="H66"/>
  <c r="J62"/>
  <c r="I66" l="1"/>
  <c r="K66"/>
  <c r="E21"/>
  <c r="H21"/>
  <c r="J66"/>
  <c r="I21" l="1"/>
  <c r="K21"/>
  <c r="J21"/>
  <c r="E78" l="1"/>
  <c r="H78"/>
  <c r="I78" l="1"/>
  <c r="K78"/>
  <c r="E50"/>
  <c r="H50"/>
  <c r="J78"/>
  <c r="I50" l="1"/>
  <c r="K50"/>
  <c r="E49"/>
  <c r="H49"/>
  <c r="J50"/>
  <c r="I49" l="1"/>
  <c r="K49"/>
  <c r="E12"/>
  <c r="H12"/>
  <c r="J49"/>
  <c r="I12" l="1"/>
  <c r="K12"/>
  <c r="E45"/>
  <c r="H45"/>
  <c r="J12"/>
  <c r="I45" l="1"/>
  <c r="K45"/>
  <c r="E68"/>
  <c r="H68"/>
  <c r="J45"/>
  <c r="I68" l="1"/>
  <c r="K68"/>
  <c r="E59"/>
  <c r="H59"/>
  <c r="J68"/>
  <c r="I59" l="1"/>
  <c r="K59"/>
  <c r="E7"/>
  <c r="H7"/>
  <c r="J59"/>
  <c r="I7" l="1"/>
  <c r="K7"/>
  <c r="E29"/>
  <c r="H29"/>
  <c r="J7"/>
  <c r="I29" l="1"/>
  <c r="K29"/>
  <c r="J29"/>
  <c r="E31" l="1"/>
  <c r="H31"/>
  <c r="I31" l="1"/>
  <c r="K31"/>
  <c r="J31"/>
  <c r="E79" l="1"/>
  <c r="H79"/>
  <c r="I79" l="1"/>
  <c r="K79"/>
  <c r="J79"/>
  <c r="E20" l="1"/>
  <c r="H20"/>
  <c r="I20" l="1"/>
  <c r="K20"/>
  <c r="J20"/>
  <c r="E43" l="1"/>
  <c r="H43"/>
  <c r="I43" l="1"/>
  <c r="K43"/>
  <c r="J43"/>
  <c r="E53" l="1"/>
  <c r="H53"/>
  <c r="I53" l="1"/>
  <c r="K53"/>
  <c r="E39"/>
  <c r="H39"/>
  <c r="J53"/>
  <c r="I39" l="1"/>
  <c r="K39"/>
  <c r="E60"/>
  <c r="H60"/>
  <c r="J39"/>
  <c r="I60" l="1"/>
  <c r="K60"/>
  <c r="E47"/>
  <c r="H47"/>
  <c r="J60"/>
  <c r="I47" l="1"/>
  <c r="K47"/>
  <c r="E16"/>
  <c r="H16"/>
  <c r="J47"/>
  <c r="I16" l="1"/>
  <c r="K16"/>
  <c r="J16"/>
  <c r="E48" l="1"/>
  <c r="H48"/>
  <c r="I48" l="1"/>
  <c r="K48"/>
  <c r="E70"/>
  <c r="H70"/>
  <c r="J48"/>
  <c r="I70" l="1"/>
  <c r="K70"/>
  <c r="E58"/>
  <c r="H58"/>
  <c r="J70"/>
  <c r="I58" l="1"/>
  <c r="K58"/>
  <c r="J58"/>
  <c r="E71" l="1"/>
  <c r="H71"/>
  <c r="I71" l="1"/>
  <c r="K71"/>
  <c r="E17"/>
  <c r="H17"/>
  <c r="J71"/>
  <c r="I17" l="1"/>
  <c r="K17"/>
  <c r="E19"/>
  <c r="H19"/>
  <c r="J17"/>
  <c r="I19" l="1"/>
  <c r="K19"/>
  <c r="J19"/>
  <c r="E63" l="1"/>
  <c r="H63"/>
  <c r="I63" l="1"/>
  <c r="K63"/>
  <c r="J63"/>
  <c r="E76" l="1"/>
  <c r="H76"/>
  <c r="I76" l="1"/>
  <c r="K76"/>
  <c r="E56"/>
  <c r="H56"/>
  <c r="J76"/>
  <c r="I56" l="1"/>
  <c r="K56"/>
  <c r="E74"/>
  <c r="H74"/>
  <c r="J56"/>
  <c r="I74" l="1"/>
  <c r="K74"/>
  <c r="E44"/>
  <c r="H44"/>
  <c r="J74"/>
  <c r="I44" l="1"/>
  <c r="K44"/>
  <c r="E30"/>
  <c r="H30"/>
  <c r="J44"/>
  <c r="I30" l="1"/>
  <c r="K30"/>
  <c r="E41"/>
  <c r="H41"/>
  <c r="J30"/>
  <c r="I41" l="1"/>
  <c r="K41"/>
  <c r="E15"/>
  <c r="H15"/>
  <c r="J41"/>
  <c r="I15" l="1"/>
  <c r="K15"/>
  <c r="J15"/>
  <c r="E40" l="1"/>
  <c r="H40"/>
  <c r="I40" l="1"/>
  <c r="K40"/>
  <c r="E3"/>
  <c r="H3"/>
  <c r="J40"/>
  <c r="I3" l="1"/>
  <c r="K3"/>
  <c r="E51"/>
  <c r="H51"/>
  <c r="J3"/>
  <c r="I51" l="1"/>
  <c r="K51"/>
  <c r="E61"/>
  <c r="H61"/>
  <c r="J51"/>
  <c r="I61" l="1"/>
  <c r="K61"/>
  <c r="E67"/>
  <c r="H67"/>
  <c r="J61"/>
  <c r="I67" l="1"/>
  <c r="K67"/>
  <c r="E9"/>
  <c r="H9"/>
  <c r="J67"/>
  <c r="I9" l="1"/>
  <c r="K9"/>
  <c r="E73"/>
  <c r="H73"/>
  <c r="J9"/>
  <c r="I73" l="1"/>
  <c r="K73"/>
  <c r="E42"/>
  <c r="H42"/>
  <c r="J73"/>
  <c r="I42" l="1"/>
  <c r="K42"/>
  <c r="J42"/>
  <c r="E32" l="1"/>
  <c r="H32"/>
  <c r="I32" l="1"/>
  <c r="K32"/>
  <c r="E25"/>
  <c r="H25"/>
  <c r="J32"/>
  <c r="I25" l="1"/>
  <c r="K25"/>
  <c r="J25"/>
  <c r="E77" l="1"/>
  <c r="H77"/>
  <c r="I77" l="1"/>
  <c r="K77"/>
  <c r="J77"/>
  <c r="E33" l="1"/>
  <c r="H33"/>
  <c r="I33" l="1"/>
  <c r="K33"/>
  <c r="E11"/>
  <c r="H11"/>
  <c r="J33"/>
  <c r="I11" l="1"/>
  <c r="K11"/>
  <c r="E6"/>
  <c r="H6"/>
  <c r="J11"/>
  <c r="I6" l="1"/>
  <c r="K6"/>
  <c r="J6"/>
  <c r="K5" l="1"/>
  <c r="H5"/>
  <c r="E5"/>
  <c r="I5" l="1"/>
  <c r="J5"/>
  <c r="AH6" l="1"/>
  <c r="AG6"/>
  <c r="U6"/>
  <c r="S6"/>
  <c r="R6"/>
  <c r="Q6"/>
  <c r="AH11"/>
  <c r="AG11"/>
  <c r="U11"/>
  <c r="S11"/>
  <c r="R11"/>
  <c r="Q11"/>
  <c r="AH33"/>
  <c r="AG33"/>
  <c r="U33"/>
  <c r="S33"/>
  <c r="R33"/>
  <c r="Q33"/>
  <c r="AH77"/>
  <c r="AG77"/>
  <c r="U77"/>
  <c r="S77"/>
  <c r="R77"/>
  <c r="Q77"/>
  <c r="AH25"/>
  <c r="AG25"/>
  <c r="U25"/>
  <c r="S25"/>
  <c r="R25"/>
  <c r="Q25"/>
  <c r="AH32"/>
  <c r="AG32"/>
  <c r="U32"/>
  <c r="S32"/>
  <c r="R32"/>
  <c r="Q32"/>
  <c r="AH42"/>
  <c r="AG42"/>
  <c r="U42"/>
  <c r="S42"/>
  <c r="R42"/>
  <c r="Q42"/>
  <c r="AH73"/>
  <c r="AG73"/>
  <c r="U73"/>
  <c r="S73"/>
  <c r="R73"/>
  <c r="Q73"/>
  <c r="AH9"/>
  <c r="AG9"/>
  <c r="U9"/>
  <c r="S9"/>
  <c r="R9"/>
  <c r="Q9"/>
  <c r="AH67"/>
  <c r="AG67"/>
  <c r="U67"/>
  <c r="S67"/>
  <c r="R67"/>
  <c r="Q67"/>
  <c r="AH61"/>
  <c r="AG61"/>
  <c r="U61"/>
  <c r="S61"/>
  <c r="R61"/>
  <c r="Q61"/>
  <c r="AH51"/>
  <c r="AG51"/>
  <c r="U51"/>
  <c r="S51"/>
  <c r="R51"/>
  <c r="Q51"/>
  <c r="AH3"/>
  <c r="AG3"/>
  <c r="U3"/>
  <c r="S3"/>
  <c r="R3"/>
  <c r="Q3"/>
  <c r="AH40"/>
  <c r="AG40"/>
  <c r="U40"/>
  <c r="S40"/>
  <c r="R40"/>
  <c r="Q40"/>
  <c r="AH15"/>
  <c r="AG15"/>
  <c r="U15"/>
  <c r="S15"/>
  <c r="R15"/>
  <c r="Q15"/>
  <c r="AH41"/>
  <c r="AG41"/>
  <c r="U41"/>
  <c r="S41"/>
  <c r="R41"/>
  <c r="Q41"/>
  <c r="AH30"/>
  <c r="AG30"/>
  <c r="U30"/>
  <c r="S30"/>
  <c r="R30"/>
  <c r="Q30"/>
  <c r="AH44"/>
  <c r="AG44"/>
  <c r="U44"/>
  <c r="S44"/>
  <c r="R44"/>
  <c r="Q44"/>
  <c r="AH74"/>
  <c r="AG74"/>
  <c r="U74"/>
  <c r="S74"/>
  <c r="R74"/>
  <c r="Q74"/>
  <c r="AH56"/>
  <c r="AG56"/>
  <c r="U56"/>
  <c r="S56"/>
  <c r="R56"/>
  <c r="Q56"/>
  <c r="AH76"/>
  <c r="AG76"/>
  <c r="U76"/>
  <c r="S76"/>
  <c r="R76"/>
  <c r="Q76"/>
  <c r="AH63"/>
  <c r="AG63"/>
  <c r="U63"/>
  <c r="S63"/>
  <c r="R63"/>
  <c r="Q63"/>
  <c r="AH19"/>
  <c r="AG19"/>
  <c r="U19"/>
  <c r="S19"/>
  <c r="R19"/>
  <c r="Q19"/>
  <c r="AH17"/>
  <c r="AG17"/>
  <c r="U17"/>
  <c r="S17"/>
  <c r="R17"/>
  <c r="Q17"/>
  <c r="AH71"/>
  <c r="AG71"/>
  <c r="U71"/>
  <c r="S71"/>
  <c r="R71"/>
  <c r="Q71"/>
  <c r="AH58"/>
  <c r="AG58"/>
  <c r="U58"/>
  <c r="S58"/>
  <c r="R58"/>
  <c r="Q58"/>
  <c r="AH70"/>
  <c r="U70"/>
  <c r="S70"/>
  <c r="R70"/>
  <c r="Q70"/>
  <c r="AH48"/>
  <c r="AG48"/>
  <c r="U48"/>
  <c r="S48"/>
  <c r="R48"/>
  <c r="Q48"/>
  <c r="AH16"/>
  <c r="AG16"/>
  <c r="U16"/>
  <c r="S16"/>
  <c r="R16"/>
  <c r="Q16"/>
  <c r="AH47"/>
  <c r="AG47"/>
  <c r="U47"/>
  <c r="S47"/>
  <c r="R47"/>
  <c r="Q47"/>
  <c r="AH60"/>
  <c r="AG60"/>
  <c r="U60"/>
  <c r="S60"/>
  <c r="R60"/>
  <c r="Q60"/>
  <c r="AH39"/>
  <c r="AG39"/>
  <c r="U39"/>
  <c r="S39"/>
  <c r="R39"/>
  <c r="Q39"/>
  <c r="AH53"/>
  <c r="AG53"/>
  <c r="U53"/>
  <c r="S53"/>
  <c r="R53"/>
  <c r="Q53"/>
  <c r="AH43"/>
  <c r="AG43"/>
  <c r="U43"/>
  <c r="S43"/>
  <c r="R43"/>
  <c r="Q43"/>
  <c r="AH20"/>
  <c r="AG20"/>
  <c r="U20"/>
  <c r="S20"/>
  <c r="R20"/>
  <c r="Q20"/>
  <c r="AH79"/>
  <c r="AG79"/>
  <c r="U79"/>
  <c r="S79"/>
  <c r="R79"/>
  <c r="Q79"/>
  <c r="AH31"/>
  <c r="AG31"/>
  <c r="U31"/>
  <c r="S31"/>
  <c r="R31"/>
  <c r="Q31"/>
  <c r="AH29"/>
  <c r="AG29"/>
  <c r="U29"/>
  <c r="S29"/>
  <c r="R29"/>
  <c r="Q29"/>
  <c r="AH7"/>
  <c r="U7"/>
  <c r="S7"/>
  <c r="R7"/>
  <c r="Q7"/>
  <c r="AH59"/>
  <c r="AG59"/>
  <c r="U59"/>
  <c r="S59"/>
  <c r="R59"/>
  <c r="Q59"/>
  <c r="AH68"/>
  <c r="AG68"/>
  <c r="U68"/>
  <c r="S68"/>
  <c r="R68"/>
  <c r="Q68"/>
  <c r="AH45"/>
  <c r="AG45"/>
  <c r="U45"/>
  <c r="S45"/>
  <c r="R45"/>
  <c r="Q45"/>
  <c r="U12"/>
  <c r="S12"/>
  <c r="R12"/>
  <c r="Q12"/>
  <c r="AH49"/>
  <c r="AG49"/>
  <c r="U49"/>
  <c r="S49"/>
  <c r="R49"/>
  <c r="Q49"/>
  <c r="AH50"/>
  <c r="AG50"/>
  <c r="U50"/>
  <c r="S50"/>
  <c r="R50"/>
  <c r="Q50"/>
  <c r="AH78"/>
  <c r="AG78"/>
  <c r="U78"/>
  <c r="S78"/>
  <c r="R78"/>
  <c r="Q78"/>
  <c r="AH21"/>
  <c r="AG21"/>
  <c r="U21"/>
  <c r="S21"/>
  <c r="R21"/>
  <c r="Q21"/>
  <c r="AH66"/>
  <c r="AG66"/>
  <c r="U66"/>
  <c r="S66"/>
  <c r="R66"/>
  <c r="Q66"/>
  <c r="AH62"/>
  <c r="AG62"/>
  <c r="U62"/>
  <c r="S62"/>
  <c r="R62"/>
  <c r="Q62"/>
  <c r="AH69"/>
  <c r="AG69"/>
  <c r="U69"/>
  <c r="S69"/>
  <c r="R69"/>
  <c r="Q69"/>
  <c r="AH38"/>
  <c r="AG38"/>
  <c r="U38"/>
  <c r="S38"/>
  <c r="R38"/>
  <c r="Q38"/>
  <c r="AH18"/>
  <c r="AG18"/>
  <c r="U18"/>
  <c r="S18"/>
  <c r="R18"/>
  <c r="Q18"/>
  <c r="AH24"/>
  <c r="AG24"/>
  <c r="U24"/>
  <c r="S24"/>
  <c r="R24"/>
  <c r="Q24"/>
  <c r="AH64"/>
  <c r="AG64"/>
  <c r="U64"/>
  <c r="S64"/>
  <c r="R64"/>
  <c r="Q64"/>
  <c r="AH46"/>
  <c r="AG46"/>
  <c r="U46"/>
  <c r="S46"/>
  <c r="R46"/>
  <c r="Q46"/>
  <c r="AH27"/>
  <c r="AG27"/>
  <c r="U27"/>
  <c r="S27"/>
  <c r="R27"/>
  <c r="Q27"/>
  <c r="AH37"/>
  <c r="AG37"/>
  <c r="U37"/>
  <c r="S37"/>
  <c r="R37"/>
  <c r="Q37"/>
  <c r="AH54"/>
  <c r="AG54"/>
  <c r="U54"/>
  <c r="S54"/>
  <c r="R54"/>
  <c r="Q54"/>
  <c r="AH26"/>
  <c r="AG26"/>
  <c r="U26"/>
  <c r="S26"/>
  <c r="R26"/>
  <c r="Q26"/>
  <c r="AH13"/>
  <c r="AG13"/>
  <c r="U13"/>
  <c r="S13"/>
  <c r="R13"/>
  <c r="Q13"/>
  <c r="AH28"/>
  <c r="AG28"/>
  <c r="U28"/>
  <c r="S28"/>
  <c r="R28"/>
  <c r="Q28"/>
  <c r="AH22"/>
  <c r="AG22"/>
  <c r="U22"/>
  <c r="S22"/>
  <c r="R22"/>
  <c r="Q22"/>
  <c r="AH55"/>
  <c r="AG55"/>
  <c r="U55"/>
  <c r="S55"/>
  <c r="R55"/>
  <c r="Q55"/>
  <c r="AH72"/>
  <c r="AG72"/>
  <c r="U72"/>
  <c r="S72"/>
  <c r="R72"/>
  <c r="Q72"/>
  <c r="AH52"/>
  <c r="AG52"/>
  <c r="U52"/>
  <c r="S52"/>
  <c r="R52"/>
  <c r="Q52"/>
  <c r="AH23"/>
  <c r="AG23"/>
  <c r="U23"/>
  <c r="S23"/>
  <c r="R23"/>
  <c r="Q23"/>
  <c r="AH2"/>
  <c r="AG2"/>
  <c r="U2"/>
  <c r="S2"/>
  <c r="R2"/>
  <c r="Q2"/>
  <c r="AH35"/>
  <c r="AG35"/>
  <c r="U35"/>
  <c r="S35"/>
  <c r="R35"/>
  <c r="Q35"/>
  <c r="AH65"/>
  <c r="AG65"/>
  <c r="U65"/>
  <c r="S65"/>
  <c r="R65"/>
  <c r="Q65"/>
  <c r="AH57"/>
  <c r="AG57"/>
  <c r="U57"/>
  <c r="S57"/>
  <c r="R57"/>
  <c r="Q57"/>
  <c r="AH36"/>
  <c r="AG36"/>
  <c r="U36"/>
  <c r="S36"/>
  <c r="R36"/>
  <c r="Q36"/>
  <c r="AH34"/>
  <c r="AG34"/>
  <c r="U34"/>
  <c r="S34"/>
  <c r="R34"/>
  <c r="Q34"/>
  <c r="AH75"/>
  <c r="AG75"/>
  <c r="U75"/>
  <c r="S75"/>
  <c r="R75"/>
  <c r="Q75"/>
  <c r="AH8"/>
  <c r="AG8"/>
  <c r="U8"/>
  <c r="S8"/>
  <c r="R8"/>
  <c r="Q8"/>
  <c r="AH10"/>
  <c r="AG10"/>
  <c r="U10"/>
  <c r="S10"/>
  <c r="R10"/>
  <c r="Q10"/>
  <c r="AH4"/>
  <c r="AG4"/>
  <c r="U4"/>
  <c r="S4"/>
  <c r="R4"/>
  <c r="Q4"/>
  <c r="AH14"/>
  <c r="AG14"/>
  <c r="U14"/>
  <c r="S14"/>
  <c r="R14"/>
  <c r="Q14"/>
  <c r="AH5"/>
  <c r="AG5"/>
  <c r="U5"/>
  <c r="S5"/>
  <c r="R5"/>
  <c r="Q5"/>
  <c r="N5" l="1"/>
  <c r="L5"/>
  <c r="M5"/>
  <c r="L4"/>
  <c r="N4"/>
  <c r="M4"/>
  <c r="M75"/>
  <c r="L75"/>
  <c r="N75"/>
  <c r="M36"/>
  <c r="L36"/>
  <c r="N36"/>
  <c r="L65"/>
  <c r="N65"/>
  <c r="M65"/>
  <c r="M23"/>
  <c r="L23"/>
  <c r="N23"/>
  <c r="L52"/>
  <c r="N52"/>
  <c r="M52"/>
  <c r="L55"/>
  <c r="N55"/>
  <c r="M55"/>
  <c r="L28"/>
  <c r="N28"/>
  <c r="M28"/>
  <c r="L26"/>
  <c r="N26"/>
  <c r="M26"/>
  <c r="L37"/>
  <c r="N37"/>
  <c r="M37"/>
  <c r="L46"/>
  <c r="N46"/>
  <c r="M46"/>
  <c r="L24"/>
  <c r="N24"/>
  <c r="M24"/>
  <c r="L38"/>
  <c r="N38"/>
  <c r="M38"/>
  <c r="L62"/>
  <c r="N62"/>
  <c r="M62"/>
  <c r="L21"/>
  <c r="N21"/>
  <c r="M21"/>
  <c r="L78"/>
  <c r="N78"/>
  <c r="M78"/>
  <c r="L49"/>
  <c r="N49"/>
  <c r="M49"/>
  <c r="M45"/>
  <c r="L45"/>
  <c r="N45"/>
  <c r="L59"/>
  <c r="N59"/>
  <c r="M59"/>
  <c r="L20"/>
  <c r="N20"/>
  <c r="M20"/>
  <c r="L43"/>
  <c r="N43"/>
  <c r="M43"/>
  <c r="L53"/>
  <c r="N53"/>
  <c r="M53"/>
  <c r="L60"/>
  <c r="N60"/>
  <c r="M60"/>
  <c r="L16"/>
  <c r="N16"/>
  <c r="M16"/>
  <c r="L48"/>
  <c r="N48"/>
  <c r="M48"/>
  <c r="L17"/>
  <c r="N17"/>
  <c r="M17"/>
  <c r="L56"/>
  <c r="N56"/>
  <c r="M56"/>
  <c r="L44"/>
  <c r="N44"/>
  <c r="M44"/>
  <c r="L41"/>
  <c r="N41"/>
  <c r="M41"/>
  <c r="L3"/>
  <c r="N3"/>
  <c r="M3"/>
  <c r="L61"/>
  <c r="N61"/>
  <c r="M61"/>
  <c r="L9"/>
  <c r="N9"/>
  <c r="M9"/>
  <c r="L42"/>
  <c r="N42"/>
  <c r="M42"/>
  <c r="L32"/>
  <c r="N32"/>
  <c r="M32"/>
  <c r="L11"/>
  <c r="N11"/>
  <c r="M11"/>
  <c r="L14"/>
  <c r="N14"/>
  <c r="M14"/>
  <c r="L10"/>
  <c r="N10"/>
  <c r="M10"/>
  <c r="M8"/>
  <c r="L8"/>
  <c r="N8"/>
  <c r="M34"/>
  <c r="L34"/>
  <c r="N34"/>
  <c r="L57"/>
  <c r="N57"/>
  <c r="M57"/>
  <c r="L35"/>
  <c r="N35"/>
  <c r="M35"/>
  <c r="L2"/>
  <c r="N2"/>
  <c r="M2"/>
  <c r="L72"/>
  <c r="N72"/>
  <c r="M72"/>
  <c r="L22"/>
  <c r="N22"/>
  <c r="M22"/>
  <c r="L13"/>
  <c r="N13"/>
  <c r="M13"/>
  <c r="L54"/>
  <c r="N54"/>
  <c r="M54"/>
  <c r="L27"/>
  <c r="N27"/>
  <c r="M27"/>
  <c r="L64"/>
  <c r="N64"/>
  <c r="M64"/>
  <c r="L18"/>
  <c r="N18"/>
  <c r="M18"/>
  <c r="L69"/>
  <c r="N69"/>
  <c r="M69"/>
  <c r="L66"/>
  <c r="N66"/>
  <c r="M66"/>
  <c r="L50"/>
  <c r="N50"/>
  <c r="M50"/>
  <c r="L12"/>
  <c r="N12"/>
  <c r="M12"/>
  <c r="L68"/>
  <c r="N68"/>
  <c r="M68"/>
  <c r="M7"/>
  <c r="L7"/>
  <c r="N7"/>
  <c r="L29"/>
  <c r="N29"/>
  <c r="M29"/>
  <c r="L31"/>
  <c r="N31"/>
  <c r="M31"/>
  <c r="L79"/>
  <c r="N79"/>
  <c r="M79"/>
  <c r="L39"/>
  <c r="N39"/>
  <c r="M39"/>
  <c r="L47"/>
  <c r="N47"/>
  <c r="M47"/>
  <c r="L70"/>
  <c r="N70"/>
  <c r="M70"/>
  <c r="L58"/>
  <c r="N58"/>
  <c r="M58"/>
  <c r="L71"/>
  <c r="N71"/>
  <c r="M71"/>
  <c r="L19"/>
  <c r="N19"/>
  <c r="M19"/>
  <c r="L63"/>
  <c r="N63"/>
  <c r="M63"/>
  <c r="L76"/>
  <c r="N76"/>
  <c r="M76"/>
  <c r="L74"/>
  <c r="N74"/>
  <c r="M74"/>
  <c r="L30"/>
  <c r="N30"/>
  <c r="M30"/>
  <c r="L15"/>
  <c r="N15"/>
  <c r="M15"/>
  <c r="L40"/>
  <c r="N40"/>
  <c r="M40"/>
  <c r="L51"/>
  <c r="N51"/>
  <c r="M51"/>
  <c r="L67"/>
  <c r="N67"/>
  <c r="M67"/>
  <c r="L73"/>
  <c r="N73"/>
  <c r="M73"/>
  <c r="L25"/>
  <c r="N25"/>
  <c r="M25"/>
  <c r="L77"/>
  <c r="N77"/>
  <c r="M77"/>
  <c r="L33"/>
  <c r="N33"/>
  <c r="M33"/>
  <c r="L6"/>
  <c r="N6"/>
  <c r="M6"/>
  <c r="O32" l="1"/>
  <c r="P32" s="1"/>
  <c r="O16"/>
  <c r="P16" s="1"/>
  <c r="O30"/>
  <c r="P30" s="1"/>
  <c r="O76"/>
  <c r="P76" s="1"/>
  <c r="O19"/>
  <c r="P19" s="1"/>
  <c r="O79"/>
  <c r="P79" s="1"/>
  <c r="O50"/>
  <c r="P50" s="1"/>
  <c r="O13"/>
  <c r="P13" s="1"/>
  <c r="O35"/>
  <c r="P35" s="1"/>
  <c r="O10"/>
  <c r="P10" s="1"/>
  <c r="O5"/>
  <c r="P5" s="1"/>
  <c r="O77"/>
  <c r="P77" s="1"/>
  <c r="O67"/>
  <c r="P67" s="1"/>
  <c r="O40"/>
  <c r="P40" s="1"/>
  <c r="O6"/>
  <c r="P6" s="1"/>
  <c r="O9"/>
  <c r="P9" s="1"/>
  <c r="O3"/>
  <c r="P3" s="1"/>
  <c r="O41"/>
  <c r="P41" s="1"/>
  <c r="O56"/>
  <c r="P56" s="1"/>
  <c r="O58"/>
  <c r="P58" s="1"/>
  <c r="O53"/>
  <c r="P53" s="1"/>
  <c r="O39"/>
  <c r="P39" s="1"/>
  <c r="O20"/>
  <c r="P20" s="1"/>
  <c r="O29"/>
  <c r="P29" s="1"/>
  <c r="O7"/>
  <c r="P7" s="1"/>
  <c r="O59"/>
  <c r="P59" s="1"/>
  <c r="O68"/>
  <c r="P68" s="1"/>
  <c r="O45"/>
  <c r="P45" s="1"/>
  <c r="O49"/>
  <c r="P49" s="1"/>
  <c r="O21"/>
  <c r="P21" s="1"/>
  <c r="O66"/>
  <c r="P66" s="1"/>
  <c r="O38"/>
  <c r="P38" s="1"/>
  <c r="O18"/>
  <c r="P18" s="1"/>
  <c r="O46"/>
  <c r="P46" s="1"/>
  <c r="O27"/>
  <c r="P27" s="1"/>
  <c r="O26"/>
  <c r="P26" s="1"/>
  <c r="O55"/>
  <c r="P55" s="1"/>
  <c r="O52"/>
  <c r="P52" s="1"/>
  <c r="O23"/>
  <c r="P23" s="1"/>
  <c r="O75"/>
  <c r="P75" s="1"/>
  <c r="O8"/>
  <c r="P8" s="1"/>
  <c r="O33"/>
  <c r="P33" s="1"/>
  <c r="O25"/>
  <c r="P25" s="1"/>
  <c r="O73"/>
  <c r="P73" s="1"/>
  <c r="O51"/>
  <c r="P51" s="1"/>
  <c r="O15"/>
  <c r="P15" s="1"/>
  <c r="O74"/>
  <c r="P74" s="1"/>
  <c r="O63"/>
  <c r="P63" s="1"/>
  <c r="O71"/>
  <c r="P71" s="1"/>
  <c r="O70"/>
  <c r="P70" s="1"/>
  <c r="O47"/>
  <c r="P47" s="1"/>
  <c r="O31"/>
  <c r="P31" s="1"/>
  <c r="O12"/>
  <c r="P12" s="1"/>
  <c r="O69"/>
  <c r="P69" s="1"/>
  <c r="O64"/>
  <c r="P64" s="1"/>
  <c r="O54"/>
  <c r="P54" s="1"/>
  <c r="O22"/>
  <c r="P22" s="1"/>
  <c r="O72"/>
  <c r="P72" s="1"/>
  <c r="O2"/>
  <c r="P2" s="1"/>
  <c r="O57"/>
  <c r="P57" s="1"/>
  <c r="O34"/>
  <c r="P34" s="1"/>
  <c r="O14"/>
  <c r="P14" s="1"/>
  <c r="O11"/>
  <c r="P11" s="1"/>
  <c r="O42"/>
  <c r="P42" s="1"/>
  <c r="O61"/>
  <c r="P61" s="1"/>
  <c r="O44"/>
  <c r="P44" s="1"/>
  <c r="O17"/>
  <c r="P17" s="1"/>
  <c r="O48"/>
  <c r="P48" s="1"/>
  <c r="O60"/>
  <c r="P60" s="1"/>
  <c r="O43"/>
  <c r="P43" s="1"/>
  <c r="O78"/>
  <c r="P78" s="1"/>
  <c r="O62"/>
  <c r="P62" s="1"/>
  <c r="O24"/>
  <c r="P24" s="1"/>
  <c r="O37"/>
  <c r="P37" s="1"/>
  <c r="O28"/>
  <c r="P28" s="1"/>
  <c r="O65"/>
  <c r="P65" s="1"/>
  <c r="O36"/>
  <c r="P36" s="1"/>
  <c r="O4"/>
  <c r="P4" s="1"/>
</calcChain>
</file>

<file path=xl/sharedStrings.xml><?xml version="1.0" encoding="utf-8"?>
<sst xmlns="http://schemas.openxmlformats.org/spreadsheetml/2006/main" count="475" uniqueCount="230">
  <si>
    <t>Symbol</t>
  </si>
  <si>
    <t>Company Name</t>
  </si>
  <si>
    <t>IBD 100 Rank</t>
  </si>
  <si>
    <t>Current Price</t>
  </si>
  <si>
    <t>Price Change</t>
  </si>
  <si>
    <t>Price % Change</t>
  </si>
  <si>
    <t>% Off High</t>
  </si>
  <si>
    <t>Volume (000)</t>
  </si>
  <si>
    <t>Volume % Chg</t>
  </si>
  <si>
    <t>Composite Rating</t>
  </si>
  <si>
    <t>EPS Rating</t>
  </si>
  <si>
    <t>RS Rating</t>
  </si>
  <si>
    <t>SMR Rating</t>
  </si>
  <si>
    <t>Acc/Dis Rating</t>
  </si>
  <si>
    <t>Group Rel Str Rating</t>
  </si>
  <si>
    <t>EPS % Chg (Last Qtr)</t>
  </si>
  <si>
    <t>EPS % Chg (Prior Qtr)</t>
  </si>
  <si>
    <t>EPS Est % Chg (Current Qtr)</t>
  </si>
  <si>
    <t>EPS Est % Chg (Current Yr)</t>
  </si>
  <si>
    <t>Sales % Chg (Last Qtr)</t>
  </si>
  <si>
    <t>Annual ROE (Latest Yr)</t>
  </si>
  <si>
    <t>Annual Profit Margin (Latest Yr)</t>
  </si>
  <si>
    <t>Mgmt Own %</t>
  </si>
  <si>
    <t>Qtrs of Rising Sponsorship</t>
  </si>
  <si>
    <t>BIDU</t>
  </si>
  <si>
    <t>Baidu Inc Ads</t>
  </si>
  <si>
    <t>A</t>
  </si>
  <si>
    <t>B-</t>
  </si>
  <si>
    <t>E</t>
  </si>
  <si>
    <t>LULU</t>
  </si>
  <si>
    <t>Lululemon Athletica</t>
  </si>
  <si>
    <t>C-</t>
  </si>
  <si>
    <t>A-</t>
  </si>
  <si>
    <t>NFLX</t>
  </si>
  <si>
    <t>Netflix Inc</t>
  </si>
  <si>
    <t>B</t>
  </si>
  <si>
    <t>A+</t>
  </si>
  <si>
    <t>C</t>
  </si>
  <si>
    <t>B+</t>
  </si>
  <si>
    <t>N/A</t>
  </si>
  <si>
    <t>MELI</t>
  </si>
  <si>
    <t>Mercadolibre Inc</t>
  </si>
  <si>
    <t>VIT</t>
  </si>
  <si>
    <t>Vanceinfo Tech Inc Ads</t>
  </si>
  <si>
    <t>WPZ</t>
  </si>
  <si>
    <t>Williams Partners Lp</t>
  </si>
  <si>
    <t>DECK</t>
  </si>
  <si>
    <t>Deckers Outdoor Corp</t>
  </si>
  <si>
    <t>FFIV</t>
  </si>
  <si>
    <t>F 5 Networks Inc</t>
  </si>
  <si>
    <t>SAM</t>
  </si>
  <si>
    <t>Boston Beer Company</t>
  </si>
  <si>
    <t>HAS</t>
  </si>
  <si>
    <t>Hasbro Inc</t>
  </si>
  <si>
    <t>SLW</t>
  </si>
  <si>
    <t>Silver Wheaton Corp</t>
  </si>
  <si>
    <t>D</t>
  </si>
  <si>
    <t>MED</t>
  </si>
  <si>
    <t>Medifast Inc</t>
  </si>
  <si>
    <t>CXO</t>
  </si>
  <si>
    <t>Concho Resources Inc</t>
  </si>
  <si>
    <t>D+</t>
  </si>
  <si>
    <t>NEM</t>
  </si>
  <si>
    <t>Newmont Mining Corp</t>
  </si>
  <si>
    <t>SWKS</t>
  </si>
  <si>
    <t>Skyworks Solutions Inc</t>
  </si>
  <si>
    <t>CTSH</t>
  </si>
  <si>
    <t>Cognizant Tech Sol Cl A</t>
  </si>
  <si>
    <t>VLTR</t>
  </si>
  <si>
    <t>Volterra Semiconductor</t>
  </si>
  <si>
    <t>THOR</t>
  </si>
  <si>
    <t>Thoratec Corp</t>
  </si>
  <si>
    <t>DGIT</t>
  </si>
  <si>
    <t>D G Fastchannel Inc</t>
  </si>
  <si>
    <t>NETL</t>
  </si>
  <si>
    <t>Netlogic Microsystems</t>
  </si>
  <si>
    <t>SHOO</t>
  </si>
  <si>
    <t>Steven Madden Limited</t>
  </si>
  <si>
    <t>D-</t>
  </si>
  <si>
    <t>NTAP</t>
  </si>
  <si>
    <t>Netapp Inc</t>
  </si>
  <si>
    <t>WRLD</t>
  </si>
  <si>
    <t>World Acceptance Corp</t>
  </si>
  <si>
    <t>EGO</t>
  </si>
  <si>
    <t>Eldorado Gold Corp</t>
  </si>
  <si>
    <t>C+</t>
  </si>
  <si>
    <t>ROVI</t>
  </si>
  <si>
    <t>Rovi Corp</t>
  </si>
  <si>
    <t>CRM</t>
  </si>
  <si>
    <t>Salesforce.Com Inc</t>
  </si>
  <si>
    <t>APKT</t>
  </si>
  <si>
    <t>Acme Packet Inc</t>
  </si>
  <si>
    <t>EZPW</t>
  </si>
  <si>
    <t>Ezcorp Inc Cl A</t>
  </si>
  <si>
    <t>SAN</t>
  </si>
  <si>
    <t>Banco Santander Cl Adr</t>
  </si>
  <si>
    <t>ABV</t>
  </si>
  <si>
    <t>Comp De Bebidas Adr</t>
  </si>
  <si>
    <t>JOBS</t>
  </si>
  <si>
    <t>Fifty One Job Inc Ads</t>
  </si>
  <si>
    <t>UA</t>
  </si>
  <si>
    <t>Under Armour Inc Cl A</t>
  </si>
  <si>
    <t>EPB</t>
  </si>
  <si>
    <t>El Paso Pipeline Partner</t>
  </si>
  <si>
    <t>HLF</t>
  </si>
  <si>
    <t>Herbalife Ltd</t>
  </si>
  <si>
    <t>IAG</t>
  </si>
  <si>
    <t>Iamgold Corp</t>
  </si>
  <si>
    <t>STRI</t>
  </si>
  <si>
    <t>S T R Holdings Inc</t>
  </si>
  <si>
    <t>GIL</t>
  </si>
  <si>
    <t>Gildan Activewear Inc</t>
  </si>
  <si>
    <t>ALTR</t>
  </si>
  <si>
    <t>Altera Corp</t>
  </si>
  <si>
    <t>DLB</t>
  </si>
  <si>
    <t>Dolby Laboratories Inc</t>
  </si>
  <si>
    <t>VQ</t>
  </si>
  <si>
    <t>Venoco Inc</t>
  </si>
  <si>
    <t>AKAM</t>
  </si>
  <si>
    <t>Akamai Technologies Inc</t>
  </si>
  <si>
    <t>JAS</t>
  </si>
  <si>
    <t>Jo Ann Stores Inc</t>
  </si>
  <si>
    <t>NGLS</t>
  </si>
  <si>
    <t>Targa Resources Prtnrs</t>
  </si>
  <si>
    <t>PAY</t>
  </si>
  <si>
    <t>Verifone Systems Inc</t>
  </si>
  <si>
    <t>VMW</t>
  </si>
  <si>
    <t>Vmware Inc Cl A</t>
  </si>
  <si>
    <t>LZ</t>
  </si>
  <si>
    <t>Lubrizol Corp</t>
  </si>
  <si>
    <t>FOSL</t>
  </si>
  <si>
    <t>Fossil Inc</t>
  </si>
  <si>
    <t>DISCA</t>
  </si>
  <si>
    <t>Discovery Com Cl A</t>
  </si>
  <si>
    <t>CVLT</t>
  </si>
  <si>
    <t>Commvault Systems Inc</t>
  </si>
  <si>
    <t>WYNN</t>
  </si>
  <si>
    <t>Wynn Resorts Ltd</t>
  </si>
  <si>
    <t>BVN</t>
  </si>
  <si>
    <t>Buenaventura Comp Ads</t>
  </si>
  <si>
    <t>AZO</t>
  </si>
  <si>
    <t>Autozone Inc</t>
  </si>
  <si>
    <t>EL</t>
  </si>
  <si>
    <t>Estee Lauder Cos Cl A</t>
  </si>
  <si>
    <t>NVO</t>
  </si>
  <si>
    <t>Novo Nordisk A/S Adr</t>
  </si>
  <si>
    <t>CMI</t>
  </si>
  <si>
    <t>Cummins Inc</t>
  </si>
  <si>
    <t>CSTR</t>
  </si>
  <si>
    <t>Coinstar Inc</t>
  </si>
  <si>
    <t>ROST</t>
  </si>
  <si>
    <t>Ross Stores Inc</t>
  </si>
  <si>
    <t>AOS</t>
  </si>
  <si>
    <t>Smith A O Corp</t>
  </si>
  <si>
    <t>TSCO</t>
  </si>
  <si>
    <t>Tractor Supply Co</t>
  </si>
  <si>
    <t>ORLY</t>
  </si>
  <si>
    <t>O Reilly Automotive Inc</t>
  </si>
  <si>
    <t>ASPS</t>
  </si>
  <si>
    <t>Altisource Ptf Sltns Sa</t>
  </si>
  <si>
    <t>XEC</t>
  </si>
  <si>
    <t>Cimarex Energy Co</t>
  </si>
  <si>
    <t>LCAPA</t>
  </si>
  <si>
    <t>Liberty Media Cap Cl A</t>
  </si>
  <si>
    <t>SKX</t>
  </si>
  <si>
    <t>Skechers U S A Inc Cl A</t>
  </si>
  <si>
    <t>SIRO</t>
  </si>
  <si>
    <t>Sirona Dental Systems</t>
  </si>
  <si>
    <t>TSL</t>
  </si>
  <si>
    <t>Trina Solar Ltd Ads</t>
  </si>
  <si>
    <t>URBN</t>
  </si>
  <si>
    <t>Urban Outfitters Inc</t>
  </si>
  <si>
    <t>AMT</t>
  </si>
  <si>
    <t>American Tower Corp Cl A</t>
  </si>
  <si>
    <t>SVR</t>
  </si>
  <si>
    <t>Syniverse Holdings Inc</t>
  </si>
  <si>
    <t>RVBD</t>
  </si>
  <si>
    <t>Riverbed Technology Inc</t>
  </si>
  <si>
    <t>XLNX</t>
  </si>
  <si>
    <t>Xilinx Inc</t>
  </si>
  <si>
    <t>NUS</t>
  </si>
  <si>
    <t>Nu Skin Enterprise Cl A</t>
  </si>
  <si>
    <t>PII</t>
  </si>
  <si>
    <t>Polaris Industries Inc</t>
  </si>
  <si>
    <t>LTM</t>
  </si>
  <si>
    <t>Life Time Fitness Inc</t>
  </si>
  <si>
    <t>LSTZA</t>
  </si>
  <si>
    <t>Liberty Media Starz Cl A</t>
  </si>
  <si>
    <t>OPEN</t>
  </si>
  <si>
    <t>Opentable Inc</t>
  </si>
  <si>
    <t>SNDK</t>
  </si>
  <si>
    <t>Sandisk Corp</t>
  </si>
  <si>
    <t>IPXL</t>
  </si>
  <si>
    <t>Impax Laboratories Inc</t>
  </si>
  <si>
    <t>Screen results as of 6:18 PM Eastern, Monday, July 12, 2010</t>
  </si>
  <si>
    <t>DISCLAIMER</t>
  </si>
  <si>
    <t>The information expressed in this service is based upon the interpretation of available data. The data being presented was obtained or derived from sources believed to be accurate, but Investor's Business Daily can not and does not guarantee the accuracy of these sources which may be incomplete and/or condensed. The data and information presented is provided for informational purposes only, and is not offered as a basis for trading in securities nor is it offered for that purpose. Users of the Service should conduct their own independent investigation before making any investment or business decisions with respect to securities covered by the Service. Test Neither Investor's Business Daily nor any of its data or content providers shall be liable for any errors in the information or delays in its delivery, or for any action taken in reliance thereon. Nothing contained herein should be construed as a recommendation to buy or sell any securities.</t>
  </si>
  <si>
    <t>Option</t>
  </si>
  <si>
    <t>Month</t>
  </si>
  <si>
    <t>\11A22\</t>
  </si>
  <si>
    <t>\12A21\</t>
  </si>
  <si>
    <t>\11B19\</t>
  </si>
  <si>
    <t>F</t>
  </si>
  <si>
    <t>G</t>
  </si>
  <si>
    <t>H</t>
  </si>
  <si>
    <t>I</t>
  </si>
  <si>
    <t>J</t>
  </si>
  <si>
    <t>\10L18\</t>
  </si>
  <si>
    <t>K</t>
  </si>
  <si>
    <t>\10K20\</t>
  </si>
  <si>
    <t>L</t>
  </si>
  <si>
    <t>Year</t>
  </si>
  <si>
    <t>Offset</t>
  </si>
  <si>
    <t>Strike Price</t>
  </si>
  <si>
    <t>Strike Price Calc</t>
  </si>
  <si>
    <t>Expiration Month</t>
  </si>
  <si>
    <t>Expiration Year</t>
  </si>
  <si>
    <t>Option Timing</t>
  </si>
  <si>
    <t>Option Symbol</t>
  </si>
  <si>
    <t>Option Bid Price</t>
  </si>
  <si>
    <t>Time to Expiration</t>
  </si>
  <si>
    <t>Break Even</t>
  </si>
  <si>
    <t>Downside%</t>
  </si>
  <si>
    <t>Assigned $</t>
  </si>
  <si>
    <t>% Act</t>
  </si>
  <si>
    <t>% PA</t>
  </si>
  <si>
    <t>\10J16\</t>
  </si>
  <si>
    <t>\10G17\</t>
  </si>
  <si>
    <t>\10H21\</t>
  </si>
  <si>
    <t>\10I18\</t>
  </si>
</sst>
</file>

<file path=xl/styles.xml><?xml version="1.0" encoding="utf-8"?>
<styleSheet xmlns="http://schemas.openxmlformats.org/spreadsheetml/2006/main">
  <numFmts count="6">
    <numFmt numFmtId="43" formatCode="_(* #,##0.00_);_(* \(#,##0.00\);_(* &quot;-&quot;??_);_(@_)"/>
    <numFmt numFmtId="164" formatCode="0.0"/>
    <numFmt numFmtId="165" formatCode="0.0%"/>
    <numFmt numFmtId="166" formatCode="_(* #,##0_);_(* \(#,##0\);_(* &quot;-&quot;??_);_(@_)"/>
    <numFmt numFmtId="167" formatCode="&quot;$&quot;#,##0.00"/>
    <numFmt numFmtId="168" formatCode="mm/dd/yy;@"/>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rgb="FFFFFFFF"/>
      <name val="Calibri"/>
      <family val="2"/>
      <scheme val="minor"/>
    </font>
    <font>
      <sz val="10"/>
      <color rgb="FF000000"/>
      <name val="Calibri"/>
      <family val="2"/>
      <scheme val="minor"/>
    </font>
    <font>
      <b/>
      <sz val="10"/>
      <color theme="1"/>
      <name val="Calibri"/>
      <family val="2"/>
      <scheme val="minor"/>
    </font>
    <font>
      <sz val="11"/>
      <color indexed="8"/>
      <name val="Calibri"/>
      <family val="2"/>
    </font>
    <font>
      <b/>
      <sz val="10"/>
      <color indexed="8"/>
      <name val="Calibri"/>
      <family val="2"/>
      <scheme val="minor"/>
    </font>
    <font>
      <sz val="10"/>
      <color indexed="8"/>
      <name val="Calibri"/>
      <family val="2"/>
      <scheme val="minor"/>
    </font>
    <font>
      <b/>
      <sz val="11"/>
      <color indexed="8"/>
      <name val="Calibri"/>
      <family val="2"/>
      <scheme val="minor"/>
    </font>
    <font>
      <sz val="11"/>
      <color indexed="8"/>
      <name val="Calibri"/>
      <family val="2"/>
      <scheme val="minor"/>
    </font>
    <font>
      <b/>
      <sz val="8"/>
      <color indexed="8"/>
      <name val="Calibri"/>
      <family val="2"/>
      <scheme val="minor"/>
    </font>
    <font>
      <sz val="8"/>
      <color indexed="8"/>
      <name val="Calibri"/>
      <family val="2"/>
      <scheme val="minor"/>
    </font>
    <font>
      <b/>
      <sz val="9"/>
      <color theme="0"/>
      <name val="Calibri"/>
      <family val="2"/>
      <scheme val="minor"/>
    </font>
    <font>
      <b/>
      <sz val="10"/>
      <color rgb="FFFF0000"/>
      <name val="Calibri"/>
      <family val="2"/>
    </font>
    <font>
      <sz val="10"/>
      <color indexed="8"/>
      <name val="Calibri"/>
      <family val="2"/>
    </font>
    <font>
      <b/>
      <sz val="10"/>
      <color indexed="10"/>
      <name val="Calibri"/>
      <family val="2"/>
      <scheme val="minor"/>
    </font>
    <font>
      <sz val="10"/>
      <color rgb="FF002060"/>
      <name val="Calibri"/>
      <family val="2"/>
      <scheme val="minor"/>
    </font>
    <font>
      <sz val="1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000"/>
        <bgColor indexed="64"/>
      </patternFill>
    </fill>
    <fill>
      <patternFill patternType="solid">
        <fgColor rgb="FFDCDCDC"/>
        <bgColor indexed="64"/>
      </patternFill>
    </fill>
    <fill>
      <patternFill patternType="solid">
        <fgColor rgb="FFFFFFFF"/>
        <bgColor indexed="64"/>
      </patternFill>
    </fill>
    <fill>
      <patternFill patternType="solid">
        <fgColor theme="8" tint="0.59999389629810485"/>
        <bgColor indexed="64"/>
      </patternFill>
    </fill>
    <fill>
      <patternFill patternType="solid">
        <fgColor rgb="FF00B0F0"/>
        <bgColor indexed="64"/>
      </patternFill>
    </fill>
    <fill>
      <patternFill patternType="solid">
        <fgColor rgb="FF92D050"/>
        <bgColor indexed="64"/>
      </patternFill>
    </fill>
    <fill>
      <patternFill patternType="solid">
        <fgColor indexed="9"/>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8" fillId="33" borderId="10" xfId="0" applyFont="1" applyFill="1" applyBorder="1" applyAlignment="1">
      <alignment horizontal="center" vertical="center" wrapText="1"/>
    </xf>
    <xf numFmtId="0" fontId="19" fillId="34" borderId="10" xfId="0" applyFont="1" applyFill="1" applyBorder="1" applyAlignment="1">
      <alignment horizontal="center" wrapText="1"/>
    </xf>
    <xf numFmtId="0" fontId="19" fillId="35" borderId="10" xfId="0" applyFont="1" applyFill="1" applyBorder="1" applyAlignment="1">
      <alignment horizontal="left" wrapText="1"/>
    </xf>
    <xf numFmtId="0" fontId="19" fillId="35" borderId="10" xfId="0" applyFont="1" applyFill="1" applyBorder="1" applyAlignment="1">
      <alignment horizontal="center" wrapText="1"/>
    </xf>
    <xf numFmtId="0" fontId="20" fillId="0" borderId="0" xfId="0" applyFont="1"/>
    <xf numFmtId="0" fontId="0" fillId="0" borderId="0" xfId="0" applyAlignment="1">
      <alignment wrapText="1"/>
    </xf>
    <xf numFmtId="0" fontId="21" fillId="0" borderId="0" xfId="0" applyFont="1" applyFill="1" applyBorder="1" applyAlignment="1">
      <alignment horizontal="center" wrapText="1"/>
    </xf>
    <xf numFmtId="0" fontId="21" fillId="0" borderId="0" xfId="0" applyFont="1" applyFill="1" applyBorder="1" applyAlignment="1">
      <alignment wrapText="1"/>
    </xf>
    <xf numFmtId="0" fontId="22" fillId="0" borderId="0" xfId="0" applyFont="1" applyFill="1" applyBorder="1" applyAlignment="1">
      <alignment horizontal="center" wrapText="1"/>
    </xf>
    <xf numFmtId="0" fontId="23" fillId="0" borderId="0" xfId="0" applyFont="1" applyFill="1" applyBorder="1"/>
    <xf numFmtId="164" fontId="23" fillId="0" borderId="0" xfId="0" applyNumberFormat="1" applyFont="1" applyFill="1" applyBorder="1" applyAlignment="1">
      <alignment horizontal="center"/>
    </xf>
    <xf numFmtId="0" fontId="23" fillId="0" borderId="0" xfId="0" applyFont="1" applyFill="1" applyBorder="1" applyAlignment="1">
      <alignment horizontal="center"/>
    </xf>
    <xf numFmtId="0" fontId="24" fillId="36" borderId="11" xfId="0" applyFont="1" applyFill="1" applyBorder="1" applyAlignment="1">
      <alignment horizontal="center" wrapText="1"/>
    </xf>
    <xf numFmtId="0" fontId="25" fillId="36" borderId="12" xfId="0" applyFont="1" applyFill="1" applyBorder="1" applyAlignment="1">
      <alignment horizontal="center" wrapText="1"/>
    </xf>
    <xf numFmtId="0" fontId="24" fillId="36" borderId="12" xfId="0" applyFont="1" applyFill="1" applyBorder="1" applyAlignment="1">
      <alignment horizontal="center" wrapText="1"/>
    </xf>
    <xf numFmtId="1" fontId="24" fillId="36" borderId="13" xfId="0" applyNumberFormat="1" applyFont="1" applyFill="1" applyBorder="1" applyAlignment="1">
      <alignment horizontal="center" wrapText="1"/>
    </xf>
    <xf numFmtId="0" fontId="25" fillId="36" borderId="11" xfId="0" applyFont="1" applyFill="1" applyBorder="1" applyAlignment="1">
      <alignment horizontal="center" wrapText="1"/>
    </xf>
    <xf numFmtId="165" fontId="25" fillId="36" borderId="14" xfId="2" applyNumberFormat="1" applyFont="1" applyFill="1" applyBorder="1" applyAlignment="1">
      <alignment horizontal="center"/>
    </xf>
    <xf numFmtId="166" fontId="24" fillId="36" borderId="0" xfId="1" applyNumberFormat="1" applyFont="1" applyFill="1" applyBorder="1" applyAlignment="1">
      <alignment horizontal="center"/>
    </xf>
    <xf numFmtId="0" fontId="25" fillId="0" borderId="0" xfId="0" applyFont="1" applyFill="1" applyBorder="1"/>
    <xf numFmtId="165" fontId="25" fillId="0" borderId="0" xfId="2" applyNumberFormat="1" applyFont="1" applyFill="1" applyBorder="1" applyAlignment="1">
      <alignment horizontal="center"/>
    </xf>
    <xf numFmtId="164" fontId="25" fillId="0" borderId="15" xfId="1" applyNumberFormat="1" applyFont="1" applyFill="1" applyBorder="1" applyAlignment="1">
      <alignment horizontal="center"/>
    </xf>
    <xf numFmtId="167" fontId="26" fillId="0" borderId="0" xfId="0" applyNumberFormat="1" applyFont="1" applyFill="1" applyBorder="1" applyAlignment="1">
      <alignment horizontal="center"/>
    </xf>
    <xf numFmtId="166" fontId="24" fillId="36" borderId="14" xfId="1" applyNumberFormat="1" applyFont="1" applyFill="1" applyBorder="1" applyAlignment="1">
      <alignment horizontal="center"/>
    </xf>
    <xf numFmtId="168" fontId="25" fillId="0" borderId="0" xfId="0" applyNumberFormat="1" applyFont="1" applyFill="1" applyBorder="1"/>
    <xf numFmtId="168" fontId="25" fillId="0" borderId="0" xfId="2" applyNumberFormat="1" applyFont="1" applyFill="1" applyBorder="1" applyAlignment="1">
      <alignment horizontal="center"/>
    </xf>
    <xf numFmtId="168" fontId="25" fillId="0" borderId="15" xfId="1" applyNumberFormat="1" applyFont="1" applyFill="1" applyBorder="1" applyAlignment="1">
      <alignment horizontal="center"/>
    </xf>
    <xf numFmtId="164" fontId="25" fillId="0" borderId="0" xfId="1" applyNumberFormat="1" applyFont="1" applyFill="1" applyBorder="1" applyAlignment="1">
      <alignment horizontal="center"/>
    </xf>
    <xf numFmtId="167" fontId="24" fillId="0" borderId="15" xfId="0" applyNumberFormat="1" applyFont="1" applyFill="1" applyBorder="1" applyAlignment="1">
      <alignment horizontal="center"/>
    </xf>
    <xf numFmtId="168" fontId="25" fillId="0" borderId="0" xfId="1" applyNumberFormat="1" applyFont="1" applyFill="1" applyBorder="1" applyAlignment="1">
      <alignment horizontal="center"/>
    </xf>
    <xf numFmtId="168" fontId="24" fillId="0" borderId="15" xfId="0" applyNumberFormat="1" applyFont="1" applyFill="1" applyBorder="1" applyAlignment="1">
      <alignment horizontal="center"/>
    </xf>
    <xf numFmtId="0" fontId="0" fillId="0" borderId="0" xfId="0" applyFill="1" applyBorder="1"/>
    <xf numFmtId="165" fontId="25" fillId="36" borderId="16" xfId="2" applyNumberFormat="1" applyFont="1" applyFill="1" applyBorder="1" applyAlignment="1">
      <alignment horizontal="center"/>
    </xf>
    <xf numFmtId="166" fontId="24" fillId="36" borderId="17" xfId="1" applyNumberFormat="1" applyFont="1" applyFill="1" applyBorder="1" applyAlignment="1">
      <alignment horizontal="center"/>
    </xf>
    <xf numFmtId="165" fontId="25" fillId="0" borderId="17" xfId="2" applyNumberFormat="1" applyFont="1" applyFill="1" applyBorder="1" applyAlignment="1">
      <alignment horizontal="center"/>
    </xf>
    <xf numFmtId="164" fontId="25" fillId="0" borderId="17" xfId="1" applyNumberFormat="1" applyFont="1" applyFill="1" applyBorder="1" applyAlignment="1">
      <alignment horizontal="center"/>
    </xf>
    <xf numFmtId="167" fontId="24" fillId="0" borderId="18" xfId="0" applyNumberFormat="1" applyFont="1" applyFill="1" applyBorder="1" applyAlignment="1">
      <alignment horizontal="center"/>
    </xf>
    <xf numFmtId="166" fontId="24" fillId="36" borderId="16" xfId="1" applyNumberFormat="1" applyFont="1" applyFill="1" applyBorder="1" applyAlignment="1">
      <alignment horizontal="center"/>
    </xf>
    <xf numFmtId="168" fontId="25" fillId="0" borderId="17" xfId="2" applyNumberFormat="1" applyFont="1" applyFill="1" applyBorder="1" applyAlignment="1">
      <alignment horizontal="center"/>
    </xf>
    <xf numFmtId="168" fontId="25" fillId="0" borderId="17" xfId="1" applyNumberFormat="1" applyFont="1" applyFill="1" applyBorder="1" applyAlignment="1">
      <alignment horizontal="center"/>
    </xf>
    <xf numFmtId="168" fontId="24" fillId="0" borderId="18" xfId="0" applyNumberFormat="1" applyFont="1" applyFill="1" applyBorder="1" applyAlignment="1">
      <alignment horizontal="center"/>
    </xf>
    <xf numFmtId="166" fontId="23" fillId="0" borderId="0" xfId="1" applyNumberFormat="1" applyFont="1" applyFill="1" applyBorder="1"/>
    <xf numFmtId="165" fontId="27" fillId="0" borderId="0" xfId="2" applyNumberFormat="1" applyFont="1" applyFill="1" applyBorder="1" applyAlignment="1">
      <alignment horizontal="center"/>
    </xf>
    <xf numFmtId="164" fontId="26" fillId="0" borderId="0" xfId="1" applyNumberFormat="1" applyFont="1" applyFill="1" applyBorder="1" applyAlignment="1">
      <alignment horizontal="center"/>
    </xf>
    <xf numFmtId="0" fontId="24" fillId="0" borderId="11" xfId="0" applyFont="1" applyFill="1" applyBorder="1" applyAlignment="1">
      <alignment horizontal="center"/>
    </xf>
    <xf numFmtId="164" fontId="24" fillId="0" borderId="13" xfId="0" applyNumberFormat="1" applyFont="1" applyFill="1" applyBorder="1" applyAlignment="1">
      <alignment horizontal="center"/>
    </xf>
    <xf numFmtId="0" fontId="24" fillId="0" borderId="14" xfId="1" applyNumberFormat="1" applyFont="1" applyFill="1" applyBorder="1" applyAlignment="1">
      <alignment horizontal="center"/>
    </xf>
    <xf numFmtId="0" fontId="25" fillId="0" borderId="15" xfId="1" applyNumberFormat="1" applyFont="1" applyFill="1" applyBorder="1" applyAlignment="1">
      <alignment horizontal="center"/>
    </xf>
    <xf numFmtId="0" fontId="24" fillId="0" borderId="16" xfId="1" applyNumberFormat="1" applyFont="1" applyFill="1" applyBorder="1" applyAlignment="1">
      <alignment horizontal="center"/>
    </xf>
    <xf numFmtId="0" fontId="25" fillId="0" borderId="18" xfId="1" applyNumberFormat="1" applyFont="1" applyFill="1" applyBorder="1" applyAlignment="1">
      <alignment horizontal="center"/>
    </xf>
    <xf numFmtId="0" fontId="28" fillId="37" borderId="19" xfId="0" applyFont="1" applyFill="1" applyBorder="1" applyAlignment="1">
      <alignment horizontal="center" vertical="center" wrapText="1"/>
    </xf>
    <xf numFmtId="167" fontId="29" fillId="38" borderId="19" xfId="0" quotePrefix="1" applyNumberFormat="1" applyFont="1" applyFill="1" applyBorder="1" applyAlignment="1">
      <alignment horizontal="center" wrapText="1"/>
    </xf>
    <xf numFmtId="167" fontId="29" fillId="0" borderId="19" xfId="0" quotePrefix="1" applyNumberFormat="1" applyFont="1" applyFill="1" applyBorder="1" applyAlignment="1">
      <alignment horizontal="center" wrapText="1"/>
    </xf>
    <xf numFmtId="1" fontId="29" fillId="38" borderId="19" xfId="0" applyNumberFormat="1" applyFont="1" applyFill="1" applyBorder="1" applyAlignment="1">
      <alignment horizontal="center" wrapText="1"/>
    </xf>
    <xf numFmtId="1" fontId="30" fillId="0" borderId="19" xfId="0" applyNumberFormat="1" applyFont="1" applyFill="1" applyBorder="1" applyAlignment="1">
      <alignment horizontal="center" wrapText="1"/>
    </xf>
    <xf numFmtId="0" fontId="30" fillId="0" borderId="19" xfId="0" applyNumberFormat="1" applyFont="1" applyFill="1" applyBorder="1" applyAlignment="1">
      <alignment horizontal="center" wrapText="1"/>
    </xf>
    <xf numFmtId="167" fontId="30" fillId="0" borderId="19" xfId="0" applyNumberFormat="1" applyFont="1" applyFill="1" applyBorder="1" applyAlignment="1">
      <alignment horizontal="center" wrapText="1"/>
    </xf>
    <xf numFmtId="165" fontId="31" fillId="39" borderId="19" xfId="2" applyNumberFormat="1" applyFont="1" applyFill="1" applyBorder="1" applyAlignment="1">
      <alignment horizontal="center"/>
    </xf>
    <xf numFmtId="165" fontId="32" fillId="39" borderId="19" xfId="2" applyNumberFormat="1" applyFont="1" applyFill="1" applyBorder="1" applyAlignment="1">
      <alignment horizontal="center"/>
    </xf>
    <xf numFmtId="0" fontId="19" fillId="0" borderId="10" xfId="0" applyFont="1" applyFill="1" applyBorder="1" applyAlignment="1">
      <alignment horizontal="left" wrapText="1"/>
    </xf>
    <xf numFmtId="0" fontId="33" fillId="0" borderId="10" xfId="0" applyFont="1" applyFill="1" applyBorder="1" applyAlignment="1">
      <alignment horizontal="left"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9" defaultPivotStyle="PivotStyleLight16"/>
</styleSheet>
</file>

<file path=xl/volatileDependencies.xml><?xml version="1.0" encoding="utf-8"?>
<volTypes xmlns="http://schemas.openxmlformats.org/spreadsheetml/2006/main">
  <volType type="realTimeData">
    <main first="msnstockquote.clsrtd">
      <tp t="e">
        <v>#N/A</v>
        <stp/>
        <stp>41</stp>
        <stp>.US:DECK\10L18\50.0</stp>
        <stp>BID PRICE</stp>
        <tr r="J34" s="1"/>
      </tp>
      <tp t="e">
        <v>#N/A</v>
        <stp/>
        <stp>41</stp>
        <stp>.US:JOBS\11A22\20.0</stp>
        <stp>BID PRICE</stp>
        <tr r="J66" s="1"/>
      </tp>
      <tp t="e">
        <v>#N/A</v>
        <stp/>
        <stp>41</stp>
        <stp>.US:XEC\10L18\75.0</stp>
        <stp>BID PRICE</stp>
        <tr r="J30" s="1"/>
      </tp>
      <tp t="e">
        <v>#N/A</v>
        <stp/>
        <stp>41</stp>
        <stp>.US:TSCO\11A22\65.0</stp>
        <stp>BID PRICE</stp>
        <tr r="J56" s="1"/>
      </tp>
      <tp t="e">
        <v>#N/A</v>
        <stp/>
        <stp>41</stp>
        <stp>.US:RVBD\10L18\30.0</stp>
        <stp>BID PRICE</stp>
        <tr r="J9" s="1"/>
      </tp>
      <tp t="e">
        <v>#N/A</v>
        <stp/>
        <stp>41</stp>
        <stp>.US:URBN\10L18\35.0</stp>
        <stp>BID PRICE</stp>
        <tr r="J51" s="1"/>
      </tp>
      <tp t="e">
        <v>#N/A</v>
        <stp/>
        <stp>41</stp>
        <stp>.US:NEM\11A22\60.0</stp>
        <stp>BID PRICE</stp>
        <tr r="J52" s="1"/>
      </tp>
      <tp t="e">
        <v>#N/A</v>
        <stp/>
        <stp>41</stp>
        <stp>.US:NTAP\10L18\40.0</stp>
        <stp>BID PRICE</stp>
        <tr r="J37" s="1"/>
      </tp>
      <tp>
        <v>8.3999996185302699</v>
        <stp/>
        <stp>41</stp>
        <stp>.US:MED\12A21\30.0</stp>
        <stp>BID PRICE</stp>
        <tr r="J2" s="1"/>
      </tp>
      <tp t="e">
        <v>#N/A</v>
        <stp/>
        <stp>41</stp>
        <stp>.US:AKAM\11A22\45.0</stp>
        <stp>BID PRICE</stp>
        <tr r="J29" s="1"/>
      </tp>
      <tp t="e">
        <v>#N/A</v>
        <stp/>
        <stp>41</stp>
        <stp>.US:EGO\11A22\15.0</stp>
        <stp>BID PRICE</stp>
        <tr r="J46" s="1"/>
      </tp>
      <tp t="e">
        <v>#N/A</v>
        <stp/>
        <stp>41</stp>
        <stp>.US:IAG\10L18\15.0</stp>
        <stp>BID PRICE</stp>
        <tr r="J49" s="1"/>
      </tp>
      <tp t="e">
        <v>#N/A</v>
        <stp/>
        <stp>41</stp>
        <stp>.US:SAM\10L18\70.0</stp>
        <stp>BID PRICE</stp>
        <tr r="J57" s="1"/>
      </tp>
      <tp t="e">
        <v>#N/A</v>
        <stp/>
        <stp>41</stp>
        <stp>.US:LZ\10L18\90.0</stp>
        <stp>BID PRICE</stp>
        <tr r="J53" s="1"/>
      </tp>
      <tp t="e">
        <v>#N/A</v>
        <stp/>
        <stp>41</stp>
        <stp>.US:SAN\11A22\75.0</stp>
        <stp>BID PRICE</stp>
        <tr r="J69" s="1"/>
      </tp>
      <tp t="e">
        <v>#N/A</v>
        <stp/>
        <stp>41</stp>
        <stp>.US:PAY\11A22\20.0</stp>
        <stp>BID PRICE</stp>
        <tr r="J20" s="1"/>
      </tp>
      <tp t="e">
        <v>#N/A</v>
        <stp/>
        <stp>41</stp>
        <stp>.US:JAS\11A22\40.0</stp>
        <stp>BID PRICE</stp>
        <tr r="J31" s="1"/>
      </tp>
      <tp t="e">
        <v>#N/A</v>
        <stp/>
        <stp>41</stp>
        <stp>.US:HAS\11A22\40.0</stp>
        <stp>BID PRICE</stp>
        <tr r="J65" s="1"/>
      </tp>
      <tp t="e">
        <v>#N/A</v>
        <stp/>
        <stp>41</stp>
        <stp>.US:SNDK\11A22\45.0</stp>
        <stp>BID PRICE</stp>
        <tr r="J11" s="1"/>
      </tp>
      <tp t="e">
        <v>#N/A</v>
        <stp/>
        <stp>41</stp>
        <stp>.US:OPEN\11A22\45.0</stp>
        <stp>BID PRICE</stp>
        <tr r="J33" s="1"/>
      </tp>
      <tp t="e">
        <v>#N/A</v>
        <stp/>
        <stp>41</stp>
        <stp>.US:BIDU\10L18\75.0</stp>
        <stp>BID PRICE</stp>
        <tr r="J5" s="1"/>
      </tp>
      <tp t="e">
        <v>#N/A</v>
        <stp/>
        <stp>41</stp>
        <stp>.US:HLF\11A22\50.0</stp>
        <stp>BID PRICE</stp>
        <tr r="J50" s="1"/>
      </tp>
      <tp t="e">
        <v>#N/A</v>
        <stp/>
        <stp>41</stp>
        <stp>.US:SLW\11A22\20.0</stp>
        <stp>BID PRICE</stp>
        <tr r="J35" s="1"/>
      </tp>
      <tp t="e">
        <v>#N/A</v>
        <stp/>
        <stp>41</stp>
        <stp>.US:APKT\11B19\30.0</stp>
        <stp>BID PRICE</stp>
        <tr r="J18" s="1"/>
      </tp>
      <tp t="e">
        <v>#N/A</v>
        <stp/>
        <stp>41</stp>
        <stp>.US:SWKS\11A22\20.0</stp>
        <stp>BID PRICE</stp>
        <tr r="J72" s="1"/>
      </tp>
      <tp t="e">
        <v>#N/A</v>
        <stp/>
        <stp>41</stp>
        <stp>.US:DLB\10L18\65.0</stp>
        <stp>BID PRICE</stp>
        <tr r="J59" s="1"/>
      </tp>
      <tp t="e">
        <v>#N/A</v>
        <stp/>
        <stp>41</stp>
        <stp>.US:AMT\11A22\45.0</stp>
        <stp>BID PRICE</stp>
        <tr r="J61" s="1"/>
      </tp>
      <tp t="e">
        <v>#N/A</v>
        <stp/>
        <stp>41</stp>
        <stp>.US:VMW\11A22\70.0</stp>
        <stp>BID PRICE</stp>
        <tr r="J43" s="1"/>
      </tp>
      <tp t="e">
        <v>#N/A</v>
        <stp/>
        <stp>41</stp>
        <stp>.US:ABV\11A22\105.0</stp>
        <stp>BID PRICE</stp>
        <tr r="J62" s="1"/>
      </tp>
      <tp t="e">
        <v>#N/A</v>
        <stp/>
        <stp>41</stp>
        <stp>.US:DGIT\10L18\35.0</stp>
        <stp>BID PRICE</stp>
        <tr r="J13" s="1"/>
      </tp>
      <tp t="e">
        <v>#N/A</v>
        <stp/>
        <stp>41</stp>
        <stp>.US:FFIV\11A22\75.0</stp>
        <stp>BID PRICE</stp>
        <tr r="J36" s="1"/>
      </tp>
      <tp t="e">
        <v>#N/A</v>
        <stp/>
        <stp>41</stp>
        <stp>.US:AOS\11A22\55.0</stp>
        <stp>BID PRICE</stp>
        <tr r="J76" s="1"/>
      </tp>
      <tp t="e">
        <v>#N/A</v>
        <stp/>
        <stp>41</stp>
        <stp>.US:SHOO\10L18\35.0</stp>
        <stp>BID PRICE</stp>
        <tr r="J54" s="1"/>
      </tp>
      <tp t="e">
        <v>#N/A</v>
        <stp/>
        <stp>41</stp>
        <stp>.US:EL\11A22\65.0</stp>
        <stp>BID PRICE</stp>
        <tr r="J58" s="1"/>
      </tp>
      <tp t="e">
        <v>#N/A</v>
        <stp/>
        <stp>41</stp>
        <stp>.US:CMI\11A22\72.5</stp>
        <stp>BID PRICE</stp>
        <tr r="J17" s="1"/>
      </tp>
      <tp t="e">
        <v>#N/A</v>
        <stp/>
        <stp>41</stp>
        <stp>.US:GIL\10L18\30.0</stp>
        <stp>BID PRICE</stp>
        <tr r="J45" s="1"/>
      </tp>
      <tp t="e">
        <v>#N/A</v>
        <stp/>
        <stp>41</stp>
        <stp>.US:PII\10L18\60.0</stp>
        <stp>BID PRICE</stp>
        <tr r="J32" s="1"/>
      </tp>
      <tp t="e">
        <v>#N/A</v>
        <stp/>
        <stp>41</stp>
        <stp>.US:VIT\10K20\25.0</stp>
        <stp>BID PRICE</stp>
        <tr r="J8" s="1"/>
      </tp>
      <tp t="e">
        <v>#N/A</v>
        <stp/>
        <stp>41</stp>
        <stp>.US:WYNN\10L18\80.0</stp>
        <stp>BID PRICE</stp>
        <tr r="J16" s="1"/>
      </tp>
      <tp t="e">
        <v>#N/A</v>
        <stp/>
        <stp>41</stp>
        <stp>.US:THOR\11A22\45.0</stp>
        <stp>BID PRICE</stp>
        <tr r="J28" s="1"/>
      </tp>
      <tp t="e">
        <v>#N/A</v>
        <stp/>
        <stp>41</stp>
        <stp>.US:XLNX\10L18\30.0</stp>
        <stp>BID PRICE</stp>
        <tr r="J73" s="1"/>
      </tp>
      <tp t="e">
        <v>#N/A</v>
        <stp/>
        <stp>41</stp>
        <stp>.US:WRLD\11A22\40.0</stp>
        <stp>BID PRICE</stp>
        <tr r="J27" s="1"/>
      </tp>
      <tp t="e">
        <v>#N/A</v>
        <stp/>
        <stp>41</stp>
        <stp>.US:ORLY\11B19\45.0</stp>
        <stp>BID PRICE</stp>
        <tr r="J74" s="1"/>
      </tp>
      <tp t="e">
        <v>#N/A</v>
        <stp/>
        <stp>41</stp>
        <stp>.US:CVLT\11A22\20.0</stp>
        <stp>BID PRICE</stp>
        <tr r="J47" s="1"/>
      </tp>
      <tp t="e">
        <v>#N/A</v>
        <stp/>
        <stp>41</stp>
        <stp>.US:MELI\10L18\60.0</stp>
        <stp>BID PRICE</stp>
        <tr r="J10" s="1"/>
      </tp>
      <tp t="e">
        <v>#N/A</v>
        <stp/>
        <stp>41</stp>
        <stp>.US:NGLS\10L18\25.0</stp>
        <stp>BID PRICE</stp>
        <tr r="J79" s="1"/>
      </tp>
      <tp t="e">
        <v>#N/A</v>
        <stp/>
        <stp>41</stp>
        <stp>.US:LULU\10L18\40.0</stp>
        <stp>BID PRICE</stp>
        <tr r="J14" s="1"/>
      </tp>
      <tp t="e">
        <v>#N/A</v>
        <stp/>
        <stp>41</stp>
        <stp>.US:SKX\11A22\35.0</stp>
        <stp>BID PRICE</stp>
        <tr r="J15" s="1"/>
      </tp>
      <tp t="e">
        <v>#N/A</v>
        <stp/>
        <stp>41</stp>
        <stp>.US:FOSL\10L18\40.0</stp>
        <stp>BID PRICE</stp>
        <tr r="J39" s="1"/>
      </tp>
      <tp t="e">
        <v>#N/A</v>
        <stp/>
        <stp>41</stp>
        <stp>.US:LTM\11A22\35.0</stp>
        <stp>BID PRICE</stp>
        <tr r="J25" s="1"/>
      </tp>
      <tp t="e">
        <v>#N/A</v>
        <stp/>
        <stp>41</stp>
        <stp>.US:NUS\10L18\30.0</stp>
        <stp>BID PRICE</stp>
        <tr r="J42" s="1"/>
      </tp>
      <tp t="e">
        <v>#N/A</v>
        <stp/>
        <stp>41</stp>
        <stp>.US:CTSH\11A22\55.0</stp>
        <stp>BID PRICE</stp>
        <tr r="J55" s="1"/>
      </tp>
      <tp t="e">
        <v>#N/A</v>
        <stp/>
        <stp>41</stp>
        <stp>.US:SIRO\10L18\35.0</stp>
        <stp>BID PRICE</stp>
        <tr r="J40" s="1"/>
      </tp>
      <tp t="e">
        <v>#N/A</v>
        <stp/>
        <stp>41</stp>
        <stp>.US:ROST\11A22\55.0</stp>
        <stp>BID PRICE</stp>
        <tr r="J63" s="1"/>
      </tp>
      <tp t="e">
        <v>#N/A</v>
        <stp/>
        <stp>41</stp>
        <stp>.US:ASPS\11A22\25.0</stp>
        <stp>BID PRICE</stp>
        <tr r="J44" s="1"/>
      </tp>
      <tp t="e">
        <v>#N/A</v>
        <stp/>
        <stp>41</stp>
        <stp>.US:EZPW\10L18\20.0</stp>
        <stp>BID PRICE</stp>
        <tr r="J38" s="1"/>
      </tp>
      <tp t="e">
        <v>#N/A</v>
        <stp/>
        <stp>41</stp>
        <stp>.US:NVO\10L18\85.0</stp>
        <stp>BID PRICE</stp>
        <tr r="J71" s="1"/>
      </tp>
      <tp t="e">
        <v>#N/A</v>
        <stp/>
        <stp>41</stp>
        <stp>.US:BVN\10L18\40.0</stp>
        <stp>BID PRICE</stp>
        <tr r="J48" s="1"/>
      </tp>
      <tp t="e">
        <v>#N/A</v>
        <stp/>
        <stp>41</stp>
        <stp>.US:SVR\10L18\20.0</stp>
        <stp>BID PRICE</stp>
        <tr r="J67" s="1"/>
      </tp>
      <tp t="e">
        <v>#N/A</v>
        <stp/>
        <stp>41</stp>
        <stp>.US:ROVI\11A22\40.0</stp>
        <stp>BID PRICE</stp>
        <tr r="J64" s="1"/>
      </tp>
      <tp t="e">
        <v>#N/A</v>
        <stp/>
        <stp>41</stp>
        <stp>.US:STRI\10L18\22.5</stp>
        <stp>BID PRICE</stp>
        <tr r="J12" s="1"/>
      </tp>
      <tp t="e">
        <v>#N/A</v>
        <stp/>
        <stp>41</stp>
        <stp>.US:EPB\10L18\30.0</stp>
        <stp>BID PRICE</stp>
        <tr r="J78" s="1"/>
      </tp>
      <tp t="e">
        <v>#N/A</v>
        <stp/>
        <stp>41</stp>
        <stp>.US:WPZ\10L18\45.0</stp>
        <stp>BID PRICE</stp>
        <tr r="J75" s="1"/>
      </tp>
      <tp t="e">
        <v>#N/A</v>
        <stp/>
        <stp>41</stp>
        <stp>.US:NETL\11A22\30.0</stp>
        <stp>BID PRICE</stp>
        <tr r="J26" s="1"/>
      </tp>
      <tp t="e">
        <v>#N/A</v>
        <stp/>
        <stp>41</stp>
        <stp>.US:CSTR\11A22\50.0</stp>
        <stp>BID PRICE</stp>
        <tr r="J19" s="1"/>
      </tp>
      <tp t="e">
        <v>#N/A</v>
        <stp/>
        <stp>41</stp>
        <stp>.US:TSL\10L18\20.0</stp>
        <stp>BID PRICE</stp>
        <tr r="J3" s="1"/>
      </tp>
      <tp t="e">
        <v>#N/A</v>
        <stp/>
        <stp>41</stp>
        <stp>.US:CRM\11A22\95.0</stp>
        <stp>BID PRICE</stp>
        <tr r="J24" s="1"/>
      </tp>
      <tp t="e">
        <v>#N/A</v>
        <stp/>
        <stp>41</stp>
        <stp>.US:ALTR\10L18\30.0</stp>
        <stp>BID PRICE</stp>
        <tr r="J68" s="1"/>
      </tp>
      <tp t="e">
        <v>#N/A</v>
        <stp/>
        <stp>41</stp>
        <stp>.US:VLTR\10L18\25.0</stp>
        <stp>BID PRICE</stp>
        <tr r="J22" s="1"/>
      </tp>
      <tp t="e">
        <v>#N/A</v>
        <stp/>
        <stp>41</stp>
        <stp>.US:VQ\10L18\17.5</stp>
        <stp>BID PRICE</stp>
        <tr r="J7" s="1"/>
      </tp>
      <tp t="e">
        <v>#N/A</v>
        <stp/>
        <stp>41</stp>
        <stp>.US:UA\11A22\35.0</stp>
        <stp>BID PRICE</stp>
        <tr r="J21" s="1"/>
      </tp>
      <tp t="e">
        <v>#N/A</v>
        <stp/>
        <stp>41</stp>
        <stp>.US:CXO\10L18\55.0</stp>
        <stp>BID PRICE</stp>
        <tr r="J23" s="1"/>
      </tp>
      <tp t="e">
        <v>#N/A</v>
        <stp/>
        <stp>41</stp>
        <stp>.US:IPXL\10L18\17.5</stp>
        <stp>BID PRICE</stp>
        <tr r="J6" s="1"/>
      </tp>
      <tp t="e">
        <v>#N/A</v>
        <stp/>
        <stp>41</stp>
        <stp>.US:AZO\10L18\200.0</stp>
        <stp>BID PRICE</stp>
        <tr r="J70" s="1"/>
      </tp>
      <tp t="e">
        <v>#N/A</v>
        <stp/>
        <stp>41</stp>
        <stp>US:ORLY</stp>
        <stp>ASK PRICE</stp>
        <tr r="C74" s="1"/>
      </tp>
      <tp t="e">
        <v>#N/A</v>
        <stp/>
        <stp>41</stp>
        <stp>US:XLNX</stp>
        <stp>ASK PRICE</stp>
        <tr r="C73" s="1"/>
      </tp>
      <tp t="e">
        <v>#N/A</v>
        <stp/>
        <stp>41</stp>
        <stp>US:NFLX</stp>
        <stp>ASK PRICE</stp>
        <tr r="C4" s="1"/>
      </tp>
      <tp t="e">
        <v>#N/A</v>
        <stp/>
        <stp>41</stp>
        <stp>US:UA</stp>
        <stp>ASK PRICE</stp>
        <tr r="C21" s="1"/>
      </tp>
      <tp t="e">
        <v>#N/A</v>
        <stp/>
        <stp>41</stp>
        <stp>US:NTAP</stp>
        <stp>ASK PRICE</stp>
        <tr r="C37" s="1"/>
      </tp>
      <tp t="e">
        <v>#N/A</v>
        <stp/>
        <stp>41</stp>
        <stp>US:SWKS</stp>
        <stp>ASK PRICE</stp>
        <tr r="C72" s="1"/>
      </tp>
      <tp t="e">
        <v>#N/A</v>
        <stp/>
        <stp>41</stp>
        <stp>US:ASPS</stp>
        <stp>ASK PRICE</stp>
        <tr r="C44" s="1"/>
      </tp>
      <tp t="e">
        <v>#N/A</v>
        <stp/>
        <stp>41</stp>
        <stp>US:JOBS</stp>
        <stp>ASK PRICE</stp>
        <tr r="C66" s="1"/>
      </tp>
      <tp t="e">
        <v>#N/A</v>
        <stp/>
        <stp>41</stp>
        <stp>US:NGLS</stp>
        <stp>ASK PRICE</stp>
        <tr r="C79" s="1"/>
      </tp>
      <tp t="e">
        <v>#N/A</v>
        <stp/>
        <stp>41</stp>
        <stp>US:VLTR</stp>
        <stp>ASK PRICE</stp>
        <tr r="C22" s="1"/>
      </tp>
      <tp t="e">
        <v>#N/A</v>
        <stp/>
        <stp>41</stp>
        <stp>US:THOR</stp>
        <stp>ASK PRICE</stp>
        <tr r="C28" s="1"/>
      </tp>
      <tp t="e">
        <v>#N/A</v>
        <stp/>
        <stp>41</stp>
        <stp>US:CSTR</stp>
        <stp>ASK PRICE</stp>
        <tr r="C19" s="1"/>
      </tp>
      <tp t="e">
        <v>#N/A</v>
        <stp/>
        <stp>41</stp>
        <stp>US:ALTR</stp>
        <stp>ASK PRICE</stp>
        <tr r="C68" s="1"/>
      </tp>
      <tp t="e">
        <v>#N/A</v>
        <stp/>
        <stp>41</stp>
        <stp>US:BIDU</stp>
        <stp>ASK PRICE</stp>
        <tr r="C5" s="1"/>
      </tp>
      <tp t="e">
        <v>#N/A</v>
        <stp/>
        <stp>41</stp>
        <stp>US:LULU</stp>
        <stp>ASK PRICE</stp>
        <tr r="C14" s="1"/>
      </tp>
      <tp t="e">
        <v>#N/A</v>
        <stp/>
        <stp>41</stp>
        <stp>US:EL</stp>
        <stp>ASK PRICE</stp>
        <tr r="C58" s="1"/>
      </tp>
      <tp t="e">
        <v>#N/A</v>
        <stp/>
        <stp>41</stp>
        <stp>US:ROST</stp>
        <stp>ASK PRICE</stp>
        <tr r="C63" s="1"/>
      </tp>
      <tp t="e">
        <v>#N/A</v>
        <stp/>
        <stp>41</stp>
        <stp>US:CVLT</stp>
        <stp>ASK PRICE</stp>
        <tr r="C47" s="1"/>
      </tp>
      <tp t="e">
        <v>#N/A</v>
        <stp/>
        <stp>41</stp>
        <stp>US:APKT</stp>
        <stp>ASK PRICE</stp>
        <tr r="C18" s="1"/>
      </tp>
      <tp t="e">
        <v>#N/A</v>
        <stp/>
        <stp>41</stp>
        <stp>US:DGIT</stp>
        <stp>ASK PRICE</stp>
        <tr r="C13" s="1"/>
      </tp>
      <tp t="e">
        <v>#N/A</v>
        <stp/>
        <stp>41</stp>
        <stp>US:EZPW</stp>
        <stp>ASK PRICE</stp>
        <tr r="C38" s="1"/>
      </tp>
      <tp t="e">
        <v>#N/A</v>
        <stp/>
        <stp>41</stp>
        <stp>US:FFIV</stp>
        <stp>ASK PRICE</stp>
        <tr r="C36" s="1"/>
      </tp>
      <tp t="e">
        <v>#N/A</v>
        <stp/>
        <stp>41</stp>
        <stp>US:STRI</stp>
        <stp>ASK PRICE</stp>
        <tr r="C12" s="1"/>
      </tp>
      <tp t="e">
        <v>#N/A</v>
        <stp/>
        <stp>41</stp>
        <stp>US:ROVI</stp>
        <stp>ASK PRICE</stp>
        <tr r="C64" s="1"/>
      </tp>
      <tp t="e">
        <v>#N/A</v>
        <stp/>
        <stp>41</stp>
        <stp>US:MELI</stp>
        <stp>ASK PRICE</stp>
        <tr r="C10" s="1"/>
      </tp>
      <tp t="e">
        <v>#N/A</v>
        <stp/>
        <stp>41</stp>
        <stp>US:CTSH</stp>
        <stp>ASK PRICE</stp>
        <tr r="C55" s="1"/>
      </tp>
      <tp t="e">
        <v>#N/A</v>
        <stp/>
        <stp>41</stp>
        <stp>US:VQ</stp>
        <stp>ASK PRICE</stp>
        <tr r="C7" s="1"/>
      </tp>
      <tp t="e">
        <v>#N/A</v>
        <stp/>
        <stp>41</stp>
        <stp>US:SNDK</stp>
        <stp>ASK PRICE</stp>
        <tr r="C11" s="1"/>
      </tp>
      <tp t="e">
        <v>#N/A</v>
        <stp/>
        <stp>41</stp>
        <stp>US:DECK</stp>
        <stp>ASK PRICE</stp>
        <tr r="C34" s="1"/>
      </tp>
      <tp t="e">
        <v>#N/A</v>
        <stp/>
        <stp>41</stp>
        <stp>US:AKAM</stp>
        <stp>ASK PRICE</stp>
        <tr r="C29" s="1"/>
      </tp>
      <tp t="e">
        <v>#N/A</v>
        <stp/>
        <stp>41</stp>
        <stp>US:FOSL</stp>
        <stp>ASK PRICE</stp>
        <tr r="C39" s="1"/>
      </tp>
      <tp t="e">
        <v>#N/A</v>
        <stp/>
        <stp>41</stp>
        <stp>US:IPXL</stp>
        <stp>ASK PRICE</stp>
        <tr r="C6" s="1"/>
      </tp>
      <tp t="e">
        <v>#N/A</v>
        <stp/>
        <stp>41</stp>
        <stp>US:NETL</stp>
        <stp>ASK PRICE</stp>
        <tr r="C26" s="1"/>
      </tp>
      <tp t="e">
        <v>#N/A</v>
        <stp/>
        <stp>41</stp>
        <stp>US:SHOO</stp>
        <stp>ASK PRICE</stp>
        <tr r="C54" s="1"/>
      </tp>
      <tp t="e">
        <v>#N/A</v>
        <stp/>
        <stp>41</stp>
        <stp>US:SIRO</stp>
        <stp>ASK PRICE</stp>
        <tr r="C40" s="1"/>
      </tp>
      <tp t="e">
        <v>#N/A</v>
        <stp/>
        <stp>41</stp>
        <stp>US:TSCO</stp>
        <stp>ASK PRICE</stp>
        <tr r="C56" s="1"/>
      </tp>
      <tp t="e">
        <v>#N/A</v>
        <stp/>
        <stp>41</stp>
        <stp>US:WYNN</stp>
        <stp>ASK PRICE</stp>
        <tr r="C16" s="1"/>
      </tp>
      <tp t="e">
        <v>#N/A</v>
        <stp/>
        <stp>41</stp>
        <stp>US:URBN</stp>
        <stp>ASK PRICE</stp>
        <tr r="C51" s="1"/>
      </tp>
      <tp t="e">
        <v>#N/A</v>
        <stp/>
        <stp>41</stp>
        <stp>US:OPEN</stp>
        <stp>ASK PRICE</stp>
        <tr r="C33" s="1"/>
      </tp>
      <tp t="e">
        <v>#N/A</v>
        <stp/>
        <stp>41</stp>
        <stp>US:LZ</stp>
        <stp>ASK PRICE</stp>
        <tr r="C53" s="1"/>
      </tp>
      <tp t="e">
        <v>#N/A</v>
        <stp/>
        <stp>41</stp>
        <stp>US:RVBD</stp>
        <stp>ASK PRICE</stp>
        <tr r="C9" s="1"/>
      </tp>
      <tp t="e">
        <v>#N/A</v>
        <stp/>
        <stp>41</stp>
        <stp>US:WRLD</stp>
        <stp>ASK PRICE</stp>
        <tr r="C27" s="1"/>
      </tp>
      <tp t="e">
        <v>#N/A</v>
        <stp/>
        <stp>41</stp>
        <stp>US:SVR</stp>
        <stp>ASK PRICE</stp>
        <tr r="C67" s="1"/>
      </tp>
      <tp t="e">
        <v>#N/A</v>
        <stp/>
        <stp>41</stp>
        <stp>.US:DISCA\11A22\35.0</stp>
        <stp>BID PRICE</stp>
        <tr r="J60" s="1"/>
      </tp>
      <tp t="e">
        <v>#N/A</v>
        <stp/>
        <stp>41</stp>
        <stp>US:NUS</stp>
        <stp>ASK PRICE</stp>
        <tr r="C42" s="1"/>
      </tp>
      <tp t="e">
        <v>#N/A</v>
        <stp/>
        <stp>41</stp>
        <stp>US:HAS</stp>
        <stp>ASK PRICE</stp>
        <tr r="C65" s="1"/>
      </tp>
      <tp t="e">
        <v>#N/A</v>
        <stp/>
        <stp>41</stp>
        <stp>US:JAS</stp>
        <stp>ASK PRICE</stp>
        <tr r="C31" s="1"/>
      </tp>
      <tp t="e">
        <v>#N/A</v>
        <stp/>
        <stp>41</stp>
        <stp>US:AOS</stp>
        <stp>ASK PRICE</stp>
        <tr r="C76" s="1"/>
      </tp>
      <tp t="e">
        <v>#N/A</v>
        <stp/>
        <stp>41</stp>
        <stp>US:AMT</stp>
        <stp>ASK PRICE</stp>
        <tr r="C61" s="1"/>
      </tp>
      <tp t="e">
        <v>#N/A</v>
        <stp/>
        <stp>41</stp>
        <stp>US:VIT</stp>
        <stp>ASK PRICE</stp>
        <tr r="C8" s="1"/>
      </tp>
      <tp t="e">
        <v>#N/A</v>
        <stp/>
        <stp>41</stp>
        <stp>US:ABV</stp>
        <stp>ASK PRICE</stp>
        <tr r="C62" s="1"/>
      </tp>
      <tp t="e">
        <v>#N/A</v>
        <stp/>
        <stp>41</stp>
        <stp>US:VMW</stp>
        <stp>ASK PRICE</stp>
        <tr r="C43" s="1"/>
      </tp>
      <tp t="e">
        <v>#N/A</v>
        <stp/>
        <stp>41</stp>
        <stp>US:SLW</stp>
        <stp>ASK PRICE</stp>
        <tr r="C35" s="1"/>
      </tp>
      <tp t="e">
        <v>#N/A</v>
        <stp/>
        <stp>41</stp>
        <stp>US:SKX</stp>
        <stp>ASK PRICE</stp>
        <tr r="C15" s="1"/>
      </tp>
      <tp t="e">
        <v>#N/A</v>
        <stp/>
        <stp>41</stp>
        <stp>.US:NFLX\10L18\120.0</stp>
        <stp>BID PRICE</stp>
        <tr r="J4" s="1"/>
      </tp>
      <tp t="e">
        <v>#N/A</v>
        <stp/>
        <stp>41</stp>
        <stp>US:PAY</stp>
        <stp>ASK PRICE</stp>
        <tr r="C20" s="1"/>
      </tp>
      <tp t="e">
        <v>#N/A</v>
        <stp/>
        <stp>41</stp>
        <stp>US:WPZ</stp>
        <stp>ASK PRICE</stp>
        <tr r="C75" s="1"/>
      </tp>
      <tp t="e">
        <v>#N/A</v>
        <stp/>
        <stp>41</stp>
        <stp>.US:LCAPA\11A22\45.0</stp>
        <stp>BID PRICE</stp>
        <tr r="J41" s="1"/>
      </tp>
      <tp t="e">
        <v>#N/A</v>
        <stp/>
        <stp>41</stp>
        <stp>US:DLB</stp>
        <stp>ASK PRICE</stp>
        <tr r="C59" s="1"/>
      </tp>
      <tp t="e">
        <v>#N/A</v>
        <stp/>
        <stp>41</stp>
        <stp>US:EPB</stp>
        <stp>ASK PRICE</stp>
        <tr r="C78" s="1"/>
      </tp>
      <tp t="e">
        <v>#N/A</v>
        <stp/>
        <stp>41</stp>
        <stp>US:XEC</stp>
        <stp>ASK PRICE</stp>
        <tr r="C30" s="1"/>
      </tp>
      <tp t="e">
        <v>#N/A</v>
        <stp/>
        <stp>41</stp>
        <stp>US:MED</stp>
        <stp>ASK PRICE</stp>
        <tr r="C2" s="1"/>
      </tp>
      <tp t="e">
        <v>#N/A</v>
        <stp/>
        <stp>41</stp>
        <stp>US:HLF</stp>
        <stp>ASK PRICE</stp>
        <tr r="C50" s="1"/>
      </tp>
      <tp t="e">
        <v>#N/A</v>
        <stp/>
        <stp>41</stp>
        <stp>US:IAG</stp>
        <stp>ASK PRICE</stp>
        <tr r="C49" s="1"/>
      </tp>
      <tp t="e">
        <v>#N/A</v>
        <stp/>
        <stp>41</stp>
        <stp>US:CMI</stp>
        <stp>ASK PRICE</stp>
        <tr r="C17" s="1"/>
      </tp>
      <tp t="e">
        <v>#N/A</v>
        <stp/>
        <stp>41</stp>
        <stp>US:PII</stp>
        <stp>ASK PRICE</stp>
        <tr r="C32" s="1"/>
      </tp>
      <tp t="e">
        <v>#N/A</v>
        <stp/>
        <stp>41</stp>
        <stp>.US:LSTZA\11A22\50.0</stp>
        <stp>BID PRICE</stp>
        <tr r="J77" s="1"/>
      </tp>
      <tp t="e">
        <v>#N/A</v>
        <stp/>
        <stp>41</stp>
        <stp>US:GIL</stp>
        <stp>ASK PRICE</stp>
        <tr r="C45" s="1"/>
      </tp>
      <tp t="e">
        <v>#N/A</v>
        <stp/>
        <stp>41</stp>
        <stp>US:TSL</stp>
        <stp>ASK PRICE</stp>
        <tr r="C3" s="1"/>
      </tp>
      <tp t="e">
        <v>#N/A</v>
        <stp/>
        <stp>41</stp>
        <stp>US:LTM</stp>
        <stp>ASK PRICE</stp>
        <tr r="C25" s="1"/>
      </tp>
      <tp t="e">
        <v>#N/A</v>
        <stp/>
        <stp>41</stp>
        <stp>US:NEM</stp>
        <stp>ASK PRICE</stp>
        <tr r="C52" s="1"/>
      </tp>
      <tp t="e">
        <v>#N/A</v>
        <stp/>
        <stp>41</stp>
        <stp>US:CRM</stp>
        <stp>ASK PRICE</stp>
        <tr r="C24" s="1"/>
      </tp>
      <tp t="e">
        <v>#N/A</v>
        <stp/>
        <stp>41</stp>
        <stp>US:SAM</stp>
        <stp>ASK PRICE</stp>
        <tr r="C57" s="1"/>
      </tp>
      <tp t="e">
        <v>#N/A</v>
        <stp/>
        <stp>41</stp>
        <stp>US:BVN</stp>
        <stp>ASK PRICE</stp>
        <tr r="C48" s="1"/>
      </tp>
      <tp t="e">
        <v>#N/A</v>
        <stp/>
        <stp>41</stp>
        <stp>US:SAN</stp>
        <stp>ASK PRICE</stp>
        <tr r="C69" s="1"/>
      </tp>
      <tp t="e">
        <v>#N/A</v>
        <stp/>
        <stp>41</stp>
        <stp>US:NVO</stp>
        <stp>ASK PRICE</stp>
        <tr r="C71" s="1"/>
      </tp>
      <tp t="e">
        <v>#N/A</v>
        <stp/>
        <stp>41</stp>
        <stp>US:EGO</stp>
        <stp>ASK PRICE</stp>
        <tr r="C46" s="1"/>
      </tp>
      <tp t="e">
        <v>#N/A</v>
        <stp/>
        <stp>41</stp>
        <stp>US:AZO</stp>
        <stp>ASK PRICE</stp>
        <tr r="C70" s="1"/>
      </tp>
      <tp t="e">
        <v>#N/A</v>
        <stp/>
        <stp>41</stp>
        <stp>US:CXO</stp>
        <stp>ASK PRICE</stp>
        <tr r="C23" s="1"/>
      </tp>
      <tp t="e">
        <v>#N/A</v>
        <stp/>
        <stp>41</stp>
        <stp>US:DISCA</stp>
        <stp>ASK PRICE</stp>
        <tr r="C60" s="1"/>
      </tp>
      <tp t="e">
        <v>#N/A</v>
        <stp/>
        <stp>41</stp>
        <stp>US:LCAPA</stp>
        <stp>ASK PRICE</stp>
        <tr r="C41" s="1"/>
      </tp>
      <tp t="e">
        <v>#N/A</v>
        <stp/>
        <stp>41</stp>
        <stp>US:LSTZA</stp>
        <stp>ASK PRICE</stp>
        <tr r="C77" s="1"/>
      </tp>
    </main>
  </volType>
</volTypes>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volatileDependencies" Target="volatileDependenci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n/AppData/Local/Microsoft/Windows/Temporary%20Internet%20Files/Low/Content.IE5/PGNKZX90/CanSlim-Opts%2007-08-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n/AppData/Local/Microsoft/Windows/Temporary%20Internet%20Files/Low/Content.IE5/PGNKZX90/Lock%20&amp;%20Roll%20Analysis%20v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N SLIM 7-7-10"/>
      <sheetName val="Option Lookup"/>
    </sheetNames>
    <sheetDataSet>
      <sheetData sheetId="0"/>
      <sheetData sheetId="1">
        <row r="4">
          <cell r="H4">
            <v>0</v>
          </cell>
          <cell r="I4">
            <v>2010</v>
          </cell>
          <cell r="J4">
            <v>2011</v>
          </cell>
          <cell r="K4">
            <v>2012</v>
          </cell>
        </row>
        <row r="5">
          <cell r="H5">
            <v>1</v>
          </cell>
          <cell r="I5">
            <v>0</v>
          </cell>
          <cell r="J5">
            <v>40565</v>
          </cell>
          <cell r="K5">
            <v>40929</v>
          </cell>
        </row>
        <row r="6">
          <cell r="H6">
            <v>2</v>
          </cell>
          <cell r="I6">
            <v>0</v>
          </cell>
          <cell r="J6">
            <v>40593</v>
          </cell>
          <cell r="K6">
            <v>0</v>
          </cell>
        </row>
        <row r="7">
          <cell r="H7">
            <v>3</v>
          </cell>
          <cell r="I7">
            <v>0</v>
          </cell>
          <cell r="J7">
            <v>0</v>
          </cell>
          <cell r="K7">
            <v>0</v>
          </cell>
        </row>
        <row r="8">
          <cell r="H8">
            <v>4</v>
          </cell>
          <cell r="I8">
            <v>0</v>
          </cell>
          <cell r="J8">
            <v>0</v>
          </cell>
          <cell r="K8">
            <v>0</v>
          </cell>
        </row>
        <row r="9">
          <cell r="H9">
            <v>5</v>
          </cell>
          <cell r="I9">
            <v>0</v>
          </cell>
          <cell r="J9">
            <v>0</v>
          </cell>
          <cell r="K9">
            <v>0</v>
          </cell>
        </row>
        <row r="10">
          <cell r="H10">
            <v>6</v>
          </cell>
          <cell r="I10">
            <v>0</v>
          </cell>
          <cell r="J10">
            <v>0</v>
          </cell>
          <cell r="K10">
            <v>0</v>
          </cell>
        </row>
        <row r="11">
          <cell r="H11">
            <v>7</v>
          </cell>
          <cell r="I11">
            <v>0</v>
          </cell>
          <cell r="J11">
            <v>0</v>
          </cell>
          <cell r="K11">
            <v>0</v>
          </cell>
        </row>
        <row r="12">
          <cell r="H12">
            <v>8</v>
          </cell>
          <cell r="I12">
            <v>0</v>
          </cell>
          <cell r="J12">
            <v>0</v>
          </cell>
          <cell r="K12">
            <v>0</v>
          </cell>
        </row>
        <row r="13">
          <cell r="H13">
            <v>9</v>
          </cell>
          <cell r="I13">
            <v>0</v>
          </cell>
          <cell r="J13">
            <v>0</v>
          </cell>
          <cell r="K13">
            <v>0</v>
          </cell>
        </row>
        <row r="14">
          <cell r="H14">
            <v>10</v>
          </cell>
          <cell r="I14">
            <v>40469</v>
          </cell>
          <cell r="J14">
            <v>0</v>
          </cell>
          <cell r="K14">
            <v>0</v>
          </cell>
        </row>
        <row r="15">
          <cell r="H15">
            <v>11</v>
          </cell>
          <cell r="I15">
            <v>40502</v>
          </cell>
          <cell r="J15">
            <v>0</v>
          </cell>
          <cell r="K15">
            <v>0</v>
          </cell>
        </row>
        <row r="16">
          <cell r="H16">
            <v>12</v>
          </cell>
          <cell r="I16">
            <v>40530</v>
          </cell>
          <cell r="J16">
            <v>0</v>
          </cell>
          <cell r="K16">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Lock &amp; Roll"/>
      <sheetName val="Option Lookup"/>
      <sheetName val="Sheet2"/>
    </sheetNames>
    <sheetDataSet>
      <sheetData sheetId="0"/>
      <sheetData sheetId="1"/>
      <sheetData sheetId="2">
        <row r="5">
          <cell r="C5">
            <v>1</v>
          </cell>
          <cell r="E5" t="str">
            <v>\11A22\</v>
          </cell>
          <cell r="F5" t="str">
            <v>\12A21\</v>
          </cell>
        </row>
        <row r="6">
          <cell r="C6">
            <v>2</v>
          </cell>
          <cell r="E6" t="str">
            <v>\11B19\</v>
          </cell>
        </row>
        <row r="7">
          <cell r="C7">
            <v>3</v>
          </cell>
        </row>
        <row r="8">
          <cell r="C8">
            <v>4</v>
          </cell>
        </row>
        <row r="9">
          <cell r="C9">
            <v>5</v>
          </cell>
        </row>
        <row r="10">
          <cell r="C10">
            <v>6</v>
          </cell>
        </row>
        <row r="11">
          <cell r="C11">
            <v>7</v>
          </cell>
          <cell r="D11" t="str">
            <v>\10G17\</v>
          </cell>
        </row>
        <row r="12">
          <cell r="C12">
            <v>8</v>
          </cell>
          <cell r="D12" t="str">
            <v>\10H21\</v>
          </cell>
        </row>
        <row r="13">
          <cell r="C13">
            <v>9</v>
          </cell>
          <cell r="D13" t="str">
            <v>\10I18\</v>
          </cell>
        </row>
        <row r="14">
          <cell r="C14">
            <v>10</v>
          </cell>
          <cell r="D14" t="str">
            <v>\10J16\</v>
          </cell>
        </row>
        <row r="15">
          <cell r="C15">
            <v>11</v>
          </cell>
          <cell r="D15" t="str">
            <v>\10K20\</v>
          </cell>
        </row>
        <row r="16">
          <cell r="C16">
            <v>12</v>
          </cell>
          <cell r="D16" t="str">
            <v>\10L18\</v>
          </cell>
        </row>
        <row r="19">
          <cell r="C19">
            <v>10</v>
          </cell>
          <cell r="D19">
            <v>2</v>
          </cell>
        </row>
        <row r="20">
          <cell r="C20">
            <v>11</v>
          </cell>
          <cell r="D20">
            <v>3</v>
          </cell>
        </row>
        <row r="21">
          <cell r="C21">
            <v>12</v>
          </cell>
          <cell r="D21">
            <v>4</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AK85"/>
  <sheetViews>
    <sheetView showGridLines="0" tabSelected="1" workbookViewId="0">
      <pane xSplit="2" ySplit="1" topLeftCell="C2" activePane="bottomRight" state="frozen"/>
      <selection pane="topRight" activeCell="C1" sqref="C1"/>
      <selection pane="bottomLeft" activeCell="A2" sqref="A2"/>
      <selection pane="bottomRight" activeCell="G3" sqref="G3"/>
    </sheetView>
  </sheetViews>
  <sheetFormatPr defaultRowHeight="15"/>
  <cols>
    <col min="1" max="1" width="6.28515625" customWidth="1"/>
    <col min="2" max="2" width="22.28515625" bestFit="1" customWidth="1"/>
    <col min="3" max="3" width="10" bestFit="1" customWidth="1"/>
    <col min="4" max="4" width="10" customWidth="1"/>
    <col min="5" max="5" width="10" hidden="1" customWidth="1"/>
    <col min="6" max="7" width="10" customWidth="1"/>
    <col min="8" max="8" width="10" hidden="1" customWidth="1"/>
    <col min="9" max="9" width="17" customWidth="1"/>
    <col min="10" max="16" width="10" customWidth="1"/>
    <col min="17" max="17" width="10" bestFit="1" customWidth="1"/>
    <col min="18" max="18" width="11.7109375" bestFit="1" customWidth="1"/>
    <col min="19" max="19" width="8.7109375" customWidth="1"/>
    <col min="20" max="20" width="10.5703125" bestFit="1" customWidth="1"/>
    <col min="21" max="21" width="11.140625" bestFit="1" customWidth="1"/>
    <col min="22" max="22" width="13.5703125" bestFit="1" customWidth="1"/>
    <col min="23" max="23" width="8.5703125" customWidth="1"/>
    <col min="24" max="24" width="7.85546875" customWidth="1"/>
    <col min="25" max="25" width="9.28515625" bestFit="1" customWidth="1"/>
    <col min="26" max="26" width="11.42578125" bestFit="1" customWidth="1"/>
    <col min="27" max="27" width="9.5703125" customWidth="1"/>
    <col min="28" max="28" width="10.28515625" customWidth="1"/>
    <col min="29" max="29" width="12" customWidth="1"/>
    <col min="30" max="30" width="13.28515625" customWidth="1"/>
    <col min="31" max="31" width="12.7109375" customWidth="1"/>
    <col min="32" max="32" width="11.5703125" customWidth="1"/>
    <col min="33" max="33" width="12.7109375" customWidth="1"/>
    <col min="34" max="34" width="13.85546875" customWidth="1"/>
    <col min="35" max="35" width="10.7109375" bestFit="1" customWidth="1"/>
    <col min="36" max="36" width="12.140625" customWidth="1"/>
    <col min="37" max="37" width="10.5703125" bestFit="1" customWidth="1"/>
  </cols>
  <sheetData>
    <row r="1" spans="1:37" ht="45" customHeight="1">
      <c r="A1" s="1" t="s">
        <v>0</v>
      </c>
      <c r="B1" s="1" t="s">
        <v>1</v>
      </c>
      <c r="C1" s="1" t="s">
        <v>3</v>
      </c>
      <c r="D1" s="51" t="s">
        <v>213</v>
      </c>
      <c r="E1" s="51" t="s">
        <v>214</v>
      </c>
      <c r="F1" s="51" t="s">
        <v>215</v>
      </c>
      <c r="G1" s="51" t="s">
        <v>216</v>
      </c>
      <c r="H1" s="51" t="s">
        <v>217</v>
      </c>
      <c r="I1" s="51" t="s">
        <v>218</v>
      </c>
      <c r="J1" s="51" t="s">
        <v>219</v>
      </c>
      <c r="K1" s="51" t="s">
        <v>220</v>
      </c>
      <c r="L1" s="51" t="s">
        <v>221</v>
      </c>
      <c r="M1" s="51" t="s">
        <v>222</v>
      </c>
      <c r="N1" s="51" t="s">
        <v>223</v>
      </c>
      <c r="O1" s="51" t="s">
        <v>224</v>
      </c>
      <c r="P1" s="51" t="s">
        <v>225</v>
      </c>
      <c r="Q1" s="1" t="s">
        <v>4</v>
      </c>
      <c r="R1" s="1" t="s">
        <v>5</v>
      </c>
      <c r="S1" s="1" t="s">
        <v>6</v>
      </c>
      <c r="T1" s="1" t="s">
        <v>7</v>
      </c>
      <c r="U1" s="1" t="s">
        <v>8</v>
      </c>
      <c r="V1" s="1" t="s">
        <v>9</v>
      </c>
      <c r="W1" s="1" t="s">
        <v>10</v>
      </c>
      <c r="X1" s="1" t="s">
        <v>11</v>
      </c>
      <c r="Y1" s="1" t="s">
        <v>12</v>
      </c>
      <c r="Z1" s="1" t="s">
        <v>13</v>
      </c>
      <c r="AA1" s="1" t="s">
        <v>14</v>
      </c>
      <c r="AB1" s="1" t="s">
        <v>15</v>
      </c>
      <c r="AC1" s="1" t="s">
        <v>16</v>
      </c>
      <c r="AD1" s="1" t="s">
        <v>17</v>
      </c>
      <c r="AE1" s="1" t="s">
        <v>18</v>
      </c>
      <c r="AF1" s="1" t="s">
        <v>19</v>
      </c>
      <c r="AG1" s="1" t="s">
        <v>20</v>
      </c>
      <c r="AH1" s="1" t="s">
        <v>21</v>
      </c>
      <c r="AI1" s="1" t="s">
        <v>22</v>
      </c>
      <c r="AJ1" s="1" t="s">
        <v>23</v>
      </c>
      <c r="AK1" s="1" t="s">
        <v>2</v>
      </c>
    </row>
    <row r="2" spans="1:37">
      <c r="A2" s="60" t="s">
        <v>57</v>
      </c>
      <c r="B2" s="60" t="s">
        <v>58</v>
      </c>
      <c r="C2" s="57">
        <f>_xll.MSNStockQuote.Functions.MSNStockQuote($A2,"ask Price","US")</f>
        <v>30.049999237060501</v>
      </c>
      <c r="D2" s="52">
        <v>30</v>
      </c>
      <c r="E2" s="53" t="str">
        <f t="shared" ref="E2:E33" si="0">TEXT(D2,".0")</f>
        <v>30.0</v>
      </c>
      <c r="F2" s="54">
        <v>1</v>
      </c>
      <c r="G2" s="54">
        <v>12</v>
      </c>
      <c r="H2" s="55" t="str">
        <f t="shared" ref="H2:H33" si="1">VLOOKUP(F2,Options,VLOOKUP(G2,Offset,2))</f>
        <v>\12A21\</v>
      </c>
      <c r="I2" s="56" t="str">
        <f t="shared" ref="I2:I33" si="2">CONCATENATE(".",A2,H2,E2)</f>
        <v>.MED\12A21\30.0</v>
      </c>
      <c r="J2" s="57">
        <f>_xll.MSNStockQuote.Functions.MSNStockQuote($I2,"Bid Price","US")</f>
        <v>8.3999996185302699</v>
      </c>
      <c r="K2" s="55">
        <f t="shared" ref="K2:K33" ca="1" si="3">VLOOKUP(F2,Duration,VLOOKUP(G2,Offset,2))-NOW()</f>
        <v>550.45289317129937</v>
      </c>
      <c r="L2" s="57">
        <f t="shared" ref="L2:L33" si="4">C2-J2</f>
        <v>21.649999618530231</v>
      </c>
      <c r="M2" s="58">
        <f t="shared" ref="M2:M33" si="5">J2/C2</f>
        <v>0.27953410421956337</v>
      </c>
      <c r="N2" s="57">
        <f t="shared" ref="N2:N33" si="6">IF(C2&gt;D2,(D2-C2)+J2,J2)</f>
        <v>8.3500003814697692</v>
      </c>
      <c r="O2" s="59">
        <f t="shared" ref="O2:O33" si="7">N2/L2</f>
        <v>0.38568131771803843</v>
      </c>
      <c r="P2" s="59">
        <f t="shared" ref="P2:P33" ca="1" si="8">O2*(365/K2)</f>
        <v>0.25574155883903338</v>
      </c>
      <c r="Q2" s="2" t="str">
        <f>TEXT(1.63, "#,##0.00")</f>
        <v>1.63</v>
      </c>
      <c r="R2" s="2" t="str">
        <f>TEXT(5.8, "#,##0.0")</f>
        <v>5.8</v>
      </c>
      <c r="S2" s="2" t="str">
        <f>TEXT(-26.94, "#,##0.00")</f>
        <v>-26.94</v>
      </c>
      <c r="T2" s="2">
        <v>889</v>
      </c>
      <c r="U2" s="2" t="str">
        <f>TEXT(-14.8, "#,##0.0")</f>
        <v>-14.8</v>
      </c>
      <c r="V2" s="2">
        <v>97</v>
      </c>
      <c r="W2" s="2">
        <v>98</v>
      </c>
      <c r="X2" s="2">
        <v>92</v>
      </c>
      <c r="Y2" s="2" t="s">
        <v>26</v>
      </c>
      <c r="Z2" s="2" t="s">
        <v>27</v>
      </c>
      <c r="AA2" s="2" t="s">
        <v>27</v>
      </c>
      <c r="AB2" s="2">
        <v>94</v>
      </c>
      <c r="AC2" s="2">
        <v>320</v>
      </c>
      <c r="AD2" s="2">
        <v>70</v>
      </c>
      <c r="AE2" s="2">
        <v>62</v>
      </c>
      <c r="AF2" s="2">
        <v>75</v>
      </c>
      <c r="AG2" s="2" t="str">
        <f>TEXT(28.2, "#,##0.0")</f>
        <v>28.2</v>
      </c>
      <c r="AH2" s="2" t="str">
        <f>TEXT(11.6, "#,##0.0")</f>
        <v>11.6</v>
      </c>
      <c r="AI2" s="2">
        <v>13</v>
      </c>
      <c r="AJ2" s="2">
        <v>0</v>
      </c>
      <c r="AK2" s="2">
        <v>15</v>
      </c>
    </row>
    <row r="3" spans="1:37">
      <c r="A3" s="3" t="s">
        <v>168</v>
      </c>
      <c r="B3" s="3" t="s">
        <v>169</v>
      </c>
      <c r="C3" s="57">
        <f>_xll.MSNStockQuote.Functions.MSNStockQuote($A3,"ask Price","US")</f>
        <v>22.450000762939499</v>
      </c>
      <c r="D3" s="52">
        <v>20</v>
      </c>
      <c r="E3" s="53" t="str">
        <f t="shared" si="0"/>
        <v>20.0</v>
      </c>
      <c r="F3" s="54">
        <v>12</v>
      </c>
      <c r="G3" s="54">
        <v>10</v>
      </c>
      <c r="H3" s="55" t="str">
        <f t="shared" si="1"/>
        <v>\10L18\</v>
      </c>
      <c r="I3" s="56" t="str">
        <f t="shared" si="2"/>
        <v>.TSL\10L18\20.0</v>
      </c>
      <c r="J3" s="57">
        <f>_xll.MSNStockQuote.Functions.MSNStockQuote($I3,"Bid Price","US")</f>
        <v>0</v>
      </c>
      <c r="K3" s="55">
        <f t="shared" ca="1" si="3"/>
        <v>151.45289317129937</v>
      </c>
      <c r="L3" s="57">
        <f t="shared" si="4"/>
        <v>22.450000762939499</v>
      </c>
      <c r="M3" s="58">
        <f t="shared" si="5"/>
        <v>0</v>
      </c>
      <c r="N3" s="57">
        <f t="shared" si="6"/>
        <v>-2.4500007629394993</v>
      </c>
      <c r="O3" s="59">
        <f t="shared" si="7"/>
        <v>-0.10913143339326584</v>
      </c>
      <c r="P3" s="59">
        <f t="shared" ca="1" si="8"/>
        <v>-0.2630056934170899</v>
      </c>
      <c r="Q3" s="4" t="str">
        <f>TEXT(0.26, "#,##0.00")</f>
        <v>0.26</v>
      </c>
      <c r="R3" s="4" t="str">
        <f>TEXT(1.3, "#,##0.0")</f>
        <v>1.3</v>
      </c>
      <c r="S3" s="4" t="str">
        <f>TEXT(-34.2, "#,##0.00")</f>
        <v>-34.20</v>
      </c>
      <c r="T3" s="4">
        <v>4435</v>
      </c>
      <c r="U3" s="4" t="str">
        <f>TEXT(-4.5, "#,##0.0")</f>
        <v>-4.5</v>
      </c>
      <c r="V3" s="4">
        <v>91</v>
      </c>
      <c r="W3" s="4">
        <v>99</v>
      </c>
      <c r="X3" s="4">
        <v>76</v>
      </c>
      <c r="Y3" s="4" t="s">
        <v>26</v>
      </c>
      <c r="Z3" s="4" t="s">
        <v>38</v>
      </c>
      <c r="AA3" s="4" t="s">
        <v>78</v>
      </c>
      <c r="AB3" s="4">
        <v>444</v>
      </c>
      <c r="AC3" s="4">
        <v>235</v>
      </c>
      <c r="AD3" s="4">
        <v>-4</v>
      </c>
      <c r="AE3" s="4">
        <v>0</v>
      </c>
      <c r="AF3" s="4">
        <v>155</v>
      </c>
      <c r="AG3" s="4" t="str">
        <f>TEXT(20.3, "#,##0.0")</f>
        <v>20.3</v>
      </c>
      <c r="AH3" s="4" t="str">
        <f>TEXT(16, "#,##0.0")</f>
        <v>16.0</v>
      </c>
      <c r="AI3" s="4">
        <v>0</v>
      </c>
      <c r="AJ3" s="4">
        <v>4</v>
      </c>
      <c r="AK3" s="4">
        <v>84</v>
      </c>
    </row>
    <row r="4" spans="1:37">
      <c r="A4" s="60" t="s">
        <v>33</v>
      </c>
      <c r="B4" s="60" t="s">
        <v>34</v>
      </c>
      <c r="C4" s="57">
        <f>_xll.MSNStockQuote.Functions.MSNStockQuote($A4,"ask Price","US")</f>
        <v>120.449996948242</v>
      </c>
      <c r="D4" s="52">
        <v>120</v>
      </c>
      <c r="E4" s="53" t="str">
        <f t="shared" si="0"/>
        <v>120.0</v>
      </c>
      <c r="F4" s="54">
        <v>12</v>
      </c>
      <c r="G4" s="54">
        <v>10</v>
      </c>
      <c r="H4" s="55" t="str">
        <f t="shared" si="1"/>
        <v>\10L18\</v>
      </c>
      <c r="I4" s="56" t="str">
        <f t="shared" si="2"/>
        <v>.NFLX\10L18\120.0</v>
      </c>
      <c r="J4" s="57">
        <f>_xll.MSNStockQuote.Functions.MSNStockQuote($I4,"Bid Price","US")</f>
        <v>0</v>
      </c>
      <c r="K4" s="55">
        <f t="shared" ca="1" si="3"/>
        <v>151.45289317129937</v>
      </c>
      <c r="L4" s="57">
        <f t="shared" si="4"/>
        <v>120.449996948242</v>
      </c>
      <c r="M4" s="58">
        <f t="shared" si="5"/>
        <v>0</v>
      </c>
      <c r="N4" s="57">
        <f t="shared" si="6"/>
        <v>-0.44999694824200276</v>
      </c>
      <c r="O4" s="59">
        <f t="shared" si="7"/>
        <v>-3.7359647957099476E-3</v>
      </c>
      <c r="P4" s="59">
        <f t="shared" ca="1" si="8"/>
        <v>-9.0036388337052988E-3</v>
      </c>
      <c r="Q4" s="2" t="str">
        <f>TEXT(1.54, "#,##0.00")</f>
        <v>1.54</v>
      </c>
      <c r="R4" s="2" t="str">
        <f>TEXT(1.3, "#,##0.0")</f>
        <v>1.3</v>
      </c>
      <c r="S4" s="2" t="str">
        <f>TEXT(-6.71, "#,##0.00")</f>
        <v>-6.71</v>
      </c>
      <c r="T4" s="2">
        <v>2495</v>
      </c>
      <c r="U4" s="2" t="str">
        <f>TEXT(-26.5, "#,##0.0")</f>
        <v>-26.5</v>
      </c>
      <c r="V4" s="2">
        <v>99</v>
      </c>
      <c r="W4" s="2">
        <v>98</v>
      </c>
      <c r="X4" s="2">
        <v>98</v>
      </c>
      <c r="Y4" s="2" t="s">
        <v>26</v>
      </c>
      <c r="Z4" s="2" t="s">
        <v>35</v>
      </c>
      <c r="AA4" s="2" t="s">
        <v>36</v>
      </c>
      <c r="AB4" s="2">
        <v>63</v>
      </c>
      <c r="AC4" s="2">
        <v>44</v>
      </c>
      <c r="AD4" s="2">
        <v>21</v>
      </c>
      <c r="AE4" s="2">
        <v>26</v>
      </c>
      <c r="AF4" s="2">
        <v>25</v>
      </c>
      <c r="AG4" s="2" t="str">
        <f>TEXT(45.2, "#,##0.0")</f>
        <v>45.2</v>
      </c>
      <c r="AH4" s="2" t="str">
        <f>TEXT(12.3, "#,##0.0")</f>
        <v>12.3</v>
      </c>
      <c r="AI4" s="2">
        <v>22</v>
      </c>
      <c r="AJ4" s="2">
        <v>0</v>
      </c>
      <c r="AK4" s="2">
        <v>3</v>
      </c>
    </row>
    <row r="5" spans="1:37">
      <c r="A5" s="60" t="s">
        <v>24</v>
      </c>
      <c r="B5" s="60" t="s">
        <v>25</v>
      </c>
      <c r="C5" s="57">
        <f>_xll.MSNStockQuote.Functions.MSNStockQuote($A5,"ask Price","US")</f>
        <v>72.75</v>
      </c>
      <c r="D5" s="52">
        <v>75</v>
      </c>
      <c r="E5" s="53" t="str">
        <f t="shared" si="0"/>
        <v>75.0</v>
      </c>
      <c r="F5" s="54">
        <v>12</v>
      </c>
      <c r="G5" s="54">
        <v>10</v>
      </c>
      <c r="H5" s="55" t="str">
        <f t="shared" si="1"/>
        <v>\10L18\</v>
      </c>
      <c r="I5" s="56" t="str">
        <f t="shared" si="2"/>
        <v>.BIDU\10L18\75.0</v>
      </c>
      <c r="J5" s="57">
        <f>_xll.MSNStockQuote.Functions.MSNStockQuote($I5,"Bid Price","US")</f>
        <v>0</v>
      </c>
      <c r="K5" s="55">
        <f t="shared" ca="1" si="3"/>
        <v>151.45289317129937</v>
      </c>
      <c r="L5" s="57">
        <f t="shared" si="4"/>
        <v>72.75</v>
      </c>
      <c r="M5" s="58">
        <f t="shared" si="5"/>
        <v>0</v>
      </c>
      <c r="N5" s="57">
        <f t="shared" si="6"/>
        <v>0</v>
      </c>
      <c r="O5" s="59">
        <f t="shared" si="7"/>
        <v>0</v>
      </c>
      <c r="P5" s="59">
        <f t="shared" ca="1" si="8"/>
        <v>0</v>
      </c>
      <c r="Q5" s="2" t="str">
        <f>TEXT(3.65, "#,##0.00")</f>
        <v>3.65</v>
      </c>
      <c r="R5" s="2" t="str">
        <f>TEXT(5.2, "#,##0.0")</f>
        <v>5.2</v>
      </c>
      <c r="S5" s="2" t="str">
        <f>TEXT(-14.05, "#,##0.00")</f>
        <v>-14.05</v>
      </c>
      <c r="T5" s="2">
        <v>13261</v>
      </c>
      <c r="U5" s="2" t="str">
        <f>TEXT(-8.6, "#,##0.0")</f>
        <v>-8.6</v>
      </c>
      <c r="V5" s="2">
        <v>96</v>
      </c>
      <c r="W5" s="2">
        <v>99</v>
      </c>
      <c r="X5" s="2">
        <v>97</v>
      </c>
      <c r="Y5" s="2" t="s">
        <v>26</v>
      </c>
      <c r="Z5" s="2" t="s">
        <v>27</v>
      </c>
      <c r="AA5" s="2" t="s">
        <v>28</v>
      </c>
      <c r="AB5" s="2">
        <v>133</v>
      </c>
      <c r="AC5" s="2">
        <v>46</v>
      </c>
      <c r="AD5" s="2">
        <v>76</v>
      </c>
      <c r="AE5" s="2">
        <v>89</v>
      </c>
      <c r="AF5" s="2">
        <v>60</v>
      </c>
      <c r="AG5" s="2" t="str">
        <f>TEXT(40.1, "#,##0.0")</f>
        <v>40.1</v>
      </c>
      <c r="AH5" s="2" t="str">
        <f>TEXT(39.8, "#,##0.0")</f>
        <v>39.8</v>
      </c>
      <c r="AI5" s="2">
        <v>20</v>
      </c>
      <c r="AJ5" s="2">
        <v>0</v>
      </c>
      <c r="AK5" s="2">
        <v>1</v>
      </c>
    </row>
    <row r="6" spans="1:37">
      <c r="A6" s="60" t="s">
        <v>192</v>
      </c>
      <c r="B6" s="61" t="s">
        <v>193</v>
      </c>
      <c r="C6" s="57">
        <f>_xll.MSNStockQuote.Functions.MSNStockQuote($A6,"ask Price","US")</f>
        <v>18</v>
      </c>
      <c r="D6" s="52">
        <v>17.5</v>
      </c>
      <c r="E6" s="53" t="str">
        <f t="shared" si="0"/>
        <v>17.5</v>
      </c>
      <c r="F6" s="54">
        <v>12</v>
      </c>
      <c r="G6" s="54">
        <v>10</v>
      </c>
      <c r="H6" s="55" t="str">
        <f t="shared" si="1"/>
        <v>\10L18\</v>
      </c>
      <c r="I6" s="56" t="str">
        <f t="shared" si="2"/>
        <v>.IPXL\10L18\17.5</v>
      </c>
      <c r="J6" s="57">
        <f>_xll.MSNStockQuote.Functions.MSNStockQuote($I6,"Bid Price","US")</f>
        <v>0</v>
      </c>
      <c r="K6" s="55">
        <f t="shared" ca="1" si="3"/>
        <v>151.45289317129937</v>
      </c>
      <c r="L6" s="57">
        <f t="shared" si="4"/>
        <v>18</v>
      </c>
      <c r="M6" s="58">
        <f t="shared" si="5"/>
        <v>0</v>
      </c>
      <c r="N6" s="57">
        <f t="shared" si="6"/>
        <v>-0.5</v>
      </c>
      <c r="O6" s="59">
        <f t="shared" si="7"/>
        <v>-2.7777777777777776E-2</v>
      </c>
      <c r="P6" s="59">
        <f t="shared" ca="1" si="8"/>
        <v>-6.6944174367282602E-2</v>
      </c>
      <c r="Q6" s="2" t="str">
        <f>TEXT(0.42, "#,##0.00")</f>
        <v>0.42</v>
      </c>
      <c r="R6" s="2" t="str">
        <f>TEXT(2.3, "#,##0.0")</f>
        <v>2.3</v>
      </c>
      <c r="S6" s="2" t="str">
        <f>TEXT(-18.18, "#,##0.00")</f>
        <v>-18.18</v>
      </c>
      <c r="T6" s="2">
        <v>737</v>
      </c>
      <c r="U6" s="2" t="str">
        <f>TEXT(-34.9, "#,##0.0")</f>
        <v>-34.9</v>
      </c>
      <c r="V6" s="2">
        <v>99</v>
      </c>
      <c r="W6" s="2">
        <v>79</v>
      </c>
      <c r="X6" s="2">
        <v>97</v>
      </c>
      <c r="Y6" s="2" t="s">
        <v>26</v>
      </c>
      <c r="Z6" s="2" t="s">
        <v>78</v>
      </c>
      <c r="AA6" s="2" t="s">
        <v>26</v>
      </c>
      <c r="AB6" s="2">
        <v>5050</v>
      </c>
      <c r="AC6" s="2" t="s">
        <v>39</v>
      </c>
      <c r="AD6" s="2">
        <v>1020</v>
      </c>
      <c r="AE6" s="2">
        <v>279</v>
      </c>
      <c r="AF6" s="2">
        <v>449</v>
      </c>
      <c r="AG6" s="2" t="str">
        <f>TEXT(28.6, "#,##0.0")</f>
        <v>28.6</v>
      </c>
      <c r="AH6" s="2" t="str">
        <f>TEXT(21.9, "#,##0.0")</f>
        <v>21.9</v>
      </c>
      <c r="AI6" s="2">
        <v>6</v>
      </c>
      <c r="AJ6" s="2">
        <v>5</v>
      </c>
      <c r="AK6" s="2">
        <v>99</v>
      </c>
    </row>
    <row r="7" spans="1:37">
      <c r="A7" s="60" t="s">
        <v>116</v>
      </c>
      <c r="B7" s="60" t="s">
        <v>117</v>
      </c>
      <c r="C7" s="57">
        <f>_xll.MSNStockQuote.Functions.MSNStockQuote($A7,"ask Price","US")</f>
        <v>18.190000534057599</v>
      </c>
      <c r="D7" s="52">
        <v>17.5</v>
      </c>
      <c r="E7" s="53" t="str">
        <f t="shared" si="0"/>
        <v>17.5</v>
      </c>
      <c r="F7" s="54">
        <v>12</v>
      </c>
      <c r="G7" s="54">
        <v>10</v>
      </c>
      <c r="H7" s="55" t="str">
        <f t="shared" si="1"/>
        <v>\10L18\</v>
      </c>
      <c r="I7" s="56" t="str">
        <f t="shared" si="2"/>
        <v>.VQ\10L18\17.5</v>
      </c>
      <c r="J7" s="57">
        <f>_xll.MSNStockQuote.Functions.MSNStockQuote($I7,"Bid Price","US")</f>
        <v>0</v>
      </c>
      <c r="K7" s="55">
        <f t="shared" ca="1" si="3"/>
        <v>151.45289317129937</v>
      </c>
      <c r="L7" s="57">
        <f t="shared" si="4"/>
        <v>18.190000534057599</v>
      </c>
      <c r="M7" s="58">
        <f t="shared" si="5"/>
        <v>0</v>
      </c>
      <c r="N7" s="57">
        <f t="shared" si="6"/>
        <v>-0.69000053405759942</v>
      </c>
      <c r="O7" s="59">
        <f t="shared" si="7"/>
        <v>-3.7932958427664358E-2</v>
      </c>
      <c r="P7" s="59">
        <f t="shared" ca="1" si="8"/>
        <v>-9.1418060996944023E-2</v>
      </c>
      <c r="Q7" s="2" t="str">
        <f>TEXT(0.35, "#,##0.00")</f>
        <v>0.35</v>
      </c>
      <c r="R7" s="2" t="str">
        <f>TEXT(2, "#,##0.0")</f>
        <v>2.0</v>
      </c>
      <c r="S7" s="2" t="str">
        <f>TEXT(-6.72, "#,##0.00")</f>
        <v>-6.72</v>
      </c>
      <c r="T7" s="2">
        <v>502</v>
      </c>
      <c r="U7" s="2" t="str">
        <f>TEXT(-8.5, "#,##0.0")</f>
        <v>-8.5</v>
      </c>
      <c r="V7" s="2">
        <v>97</v>
      </c>
      <c r="W7" s="2">
        <v>89</v>
      </c>
      <c r="X7" s="2">
        <v>95</v>
      </c>
      <c r="Y7" s="2" t="s">
        <v>35</v>
      </c>
      <c r="Z7" s="2" t="s">
        <v>36</v>
      </c>
      <c r="AA7" s="2" t="s">
        <v>32</v>
      </c>
      <c r="AB7" s="2" t="s">
        <v>39</v>
      </c>
      <c r="AC7" s="2">
        <v>8</v>
      </c>
      <c r="AD7" s="2">
        <v>1500</v>
      </c>
      <c r="AE7" s="2">
        <v>48</v>
      </c>
      <c r="AF7" s="2">
        <v>43</v>
      </c>
      <c r="AG7" s="2" t="s">
        <v>39</v>
      </c>
      <c r="AH7" s="2" t="str">
        <f>TEXT(6.1, "#,##0.0")</f>
        <v>6.1</v>
      </c>
      <c r="AI7" s="2">
        <v>62</v>
      </c>
      <c r="AJ7" s="2">
        <v>0</v>
      </c>
      <c r="AK7" s="2">
        <v>47</v>
      </c>
    </row>
    <row r="8" spans="1:37">
      <c r="A8" s="60" t="s">
        <v>42</v>
      </c>
      <c r="B8" s="60" t="s">
        <v>43</v>
      </c>
      <c r="C8" s="57">
        <f>_xll.MSNStockQuote.Functions.MSNStockQuote($A8,"ask Price","US")</f>
        <v>25.190000534057599</v>
      </c>
      <c r="D8" s="52">
        <v>25</v>
      </c>
      <c r="E8" s="53" t="str">
        <f t="shared" si="0"/>
        <v>25.0</v>
      </c>
      <c r="F8" s="54">
        <v>11</v>
      </c>
      <c r="G8" s="54">
        <v>10</v>
      </c>
      <c r="H8" s="55" t="str">
        <f t="shared" si="1"/>
        <v>\10K20\</v>
      </c>
      <c r="I8" s="56" t="str">
        <f t="shared" si="2"/>
        <v>.VIT\10K20\25.0</v>
      </c>
      <c r="J8" s="57">
        <f>_xll.MSNStockQuote.Functions.MSNStockQuote($I8,"Bid Price","US")</f>
        <v>0</v>
      </c>
      <c r="K8" s="55">
        <f t="shared" ca="1" si="3"/>
        <v>123.45289317129937</v>
      </c>
      <c r="L8" s="57">
        <f t="shared" si="4"/>
        <v>25.190000534057599</v>
      </c>
      <c r="M8" s="58">
        <f t="shared" si="5"/>
        <v>0</v>
      </c>
      <c r="N8" s="57">
        <f t="shared" si="6"/>
        <v>-0.19000053405759942</v>
      </c>
      <c r="O8" s="59">
        <f t="shared" si="7"/>
        <v>-7.5426967062074204E-3</v>
      </c>
      <c r="P8" s="59">
        <f t="shared" ca="1" si="8"/>
        <v>-2.2300686740047596E-2</v>
      </c>
      <c r="Q8" s="2" t="str">
        <f>TEXT(-0.28, "#,##0.00")</f>
        <v>-0.28</v>
      </c>
      <c r="R8" s="2" t="str">
        <f>TEXT(-1.1, "#,##0.0")</f>
        <v>-1.1</v>
      </c>
      <c r="S8" s="2" t="str">
        <f>TEXT(-3.28, "#,##0.00")</f>
        <v>-3.28</v>
      </c>
      <c r="T8" s="2">
        <v>668</v>
      </c>
      <c r="U8" s="2" t="str">
        <f>TEXT(0.1, "#,##0.0")</f>
        <v>0.1</v>
      </c>
      <c r="V8" s="2">
        <v>98</v>
      </c>
      <c r="W8" s="2">
        <v>99</v>
      </c>
      <c r="X8" s="2">
        <v>93</v>
      </c>
      <c r="Y8" s="2" t="s">
        <v>26</v>
      </c>
      <c r="Z8" s="2" t="s">
        <v>35</v>
      </c>
      <c r="AA8" s="2" t="s">
        <v>35</v>
      </c>
      <c r="AB8" s="2">
        <v>64</v>
      </c>
      <c r="AC8" s="2">
        <v>29</v>
      </c>
      <c r="AD8" s="2">
        <v>36</v>
      </c>
      <c r="AE8" s="2">
        <v>39</v>
      </c>
      <c r="AF8" s="2">
        <v>47</v>
      </c>
      <c r="AG8" s="2" t="str">
        <f>TEXT(16.1, "#,##0.0")</f>
        <v>16.1</v>
      </c>
      <c r="AH8" s="2" t="str">
        <f>TEXT(17.3, "#,##0.0")</f>
        <v>17.3</v>
      </c>
      <c r="AI8" s="2">
        <v>0</v>
      </c>
      <c r="AJ8" s="2">
        <v>0</v>
      </c>
      <c r="AK8" s="2">
        <v>7</v>
      </c>
    </row>
    <row r="9" spans="1:37">
      <c r="A9" s="60" t="s">
        <v>176</v>
      </c>
      <c r="B9" s="60" t="s">
        <v>177</v>
      </c>
      <c r="C9" s="57">
        <f>_xll.MSNStockQuote.Functions.MSNStockQuote($A9,"ask Price","US")</f>
        <v>32</v>
      </c>
      <c r="D9" s="52">
        <v>30</v>
      </c>
      <c r="E9" s="53" t="str">
        <f t="shared" si="0"/>
        <v>30.0</v>
      </c>
      <c r="F9" s="54">
        <v>12</v>
      </c>
      <c r="G9" s="54">
        <v>10</v>
      </c>
      <c r="H9" s="55" t="str">
        <f t="shared" si="1"/>
        <v>\10L18\</v>
      </c>
      <c r="I9" s="56" t="str">
        <f t="shared" si="2"/>
        <v>.RVBD\10L18\30.0</v>
      </c>
      <c r="J9" s="57">
        <f>_xll.MSNStockQuote.Functions.MSNStockQuote($I9,"Bid Price","US")</f>
        <v>0</v>
      </c>
      <c r="K9" s="55">
        <f t="shared" ca="1" si="3"/>
        <v>151.45289317129937</v>
      </c>
      <c r="L9" s="57">
        <f t="shared" si="4"/>
        <v>32</v>
      </c>
      <c r="M9" s="58">
        <f t="shared" si="5"/>
        <v>0</v>
      </c>
      <c r="N9" s="57">
        <f t="shared" si="6"/>
        <v>-2</v>
      </c>
      <c r="O9" s="59">
        <f t="shared" si="7"/>
        <v>-6.25E-2</v>
      </c>
      <c r="P9" s="59">
        <f t="shared" ca="1" si="8"/>
        <v>-0.15062439232638586</v>
      </c>
      <c r="Q9" s="4" t="str">
        <f>TEXT(0.43, "#,##0.00")</f>
        <v>0.43</v>
      </c>
      <c r="R9" s="4" t="str">
        <f>TEXT(1.4, "#,##0.0")</f>
        <v>1.4</v>
      </c>
      <c r="S9" s="4" t="str">
        <f>TEXT(-8.56, "#,##0.00")</f>
        <v>-8.56</v>
      </c>
      <c r="T9" s="4">
        <v>1173</v>
      </c>
      <c r="U9" s="4" t="str">
        <f>TEXT(-19.5, "#,##0.0")</f>
        <v>-19.5</v>
      </c>
      <c r="V9" s="4">
        <v>96</v>
      </c>
      <c r="W9" s="4">
        <v>92</v>
      </c>
      <c r="X9" s="4">
        <v>83</v>
      </c>
      <c r="Y9" s="4" t="s">
        <v>26</v>
      </c>
      <c r="Z9" s="4" t="s">
        <v>37</v>
      </c>
      <c r="AA9" s="4" t="s">
        <v>85</v>
      </c>
      <c r="AB9" s="4">
        <v>54</v>
      </c>
      <c r="AC9" s="4">
        <v>11</v>
      </c>
      <c r="AD9" s="4">
        <v>57</v>
      </c>
      <c r="AE9" s="4">
        <v>37</v>
      </c>
      <c r="AF9" s="4">
        <v>27</v>
      </c>
      <c r="AG9" s="4" t="str">
        <f>TEXT(15.5, "#,##0.0")</f>
        <v>15.5</v>
      </c>
      <c r="AH9" s="4" t="str">
        <f>TEXT(19.4, "#,##0.0")</f>
        <v>19.4</v>
      </c>
      <c r="AI9" s="4">
        <v>22</v>
      </c>
      <c r="AJ9" s="4">
        <v>0</v>
      </c>
      <c r="AK9" s="4">
        <v>88</v>
      </c>
    </row>
    <row r="10" spans="1:37">
      <c r="A10" s="60" t="s">
        <v>40</v>
      </c>
      <c r="B10" s="60" t="s">
        <v>41</v>
      </c>
      <c r="C10" s="57">
        <f>_xll.MSNStockQuote.Functions.MSNStockQuote($A10,"ask Price","US")</f>
        <v>60.599998474121101</v>
      </c>
      <c r="D10" s="52">
        <v>60</v>
      </c>
      <c r="E10" s="53" t="str">
        <f t="shared" si="0"/>
        <v>60.0</v>
      </c>
      <c r="F10" s="54">
        <v>12</v>
      </c>
      <c r="G10" s="54">
        <v>10</v>
      </c>
      <c r="H10" s="55" t="str">
        <f t="shared" si="1"/>
        <v>\10L18\</v>
      </c>
      <c r="I10" s="56" t="str">
        <f t="shared" si="2"/>
        <v>.MELI\10L18\60.0</v>
      </c>
      <c r="J10" s="57">
        <f>_xll.MSNStockQuote.Functions.MSNStockQuote($I10,"Bid Price","US")</f>
        <v>0</v>
      </c>
      <c r="K10" s="55">
        <f t="shared" ca="1" si="3"/>
        <v>151.45289317129937</v>
      </c>
      <c r="L10" s="57">
        <f t="shared" si="4"/>
        <v>60.599998474121101</v>
      </c>
      <c r="M10" s="58">
        <f t="shared" si="5"/>
        <v>0</v>
      </c>
      <c r="N10" s="57">
        <f t="shared" si="6"/>
        <v>-0.59999847412110086</v>
      </c>
      <c r="O10" s="59">
        <f t="shared" si="7"/>
        <v>-9.9009651687916624E-3</v>
      </c>
      <c r="P10" s="59">
        <f t="shared" ca="1" si="8"/>
        <v>-2.3861229791903305E-2</v>
      </c>
      <c r="Q10" s="2" t="str">
        <f>TEXT(1.71, "#,##0.00")</f>
        <v>1.71</v>
      </c>
      <c r="R10" s="2" t="str">
        <f>TEXT(2.9, "#,##0.0")</f>
        <v>2.9</v>
      </c>
      <c r="S10" s="2" t="str">
        <f>TEXT(-5.29, "#,##0.00")</f>
        <v>-5.29</v>
      </c>
      <c r="T10" s="2">
        <v>765</v>
      </c>
      <c r="U10" s="2" t="str">
        <f>TEXT(-19.3, "#,##0.0")</f>
        <v>-19.3</v>
      </c>
      <c r="V10" s="2">
        <v>98</v>
      </c>
      <c r="W10" s="2">
        <v>99</v>
      </c>
      <c r="X10" s="2">
        <v>95</v>
      </c>
      <c r="Y10" s="2" t="s">
        <v>26</v>
      </c>
      <c r="Z10" s="2" t="s">
        <v>35</v>
      </c>
      <c r="AA10" s="2" t="s">
        <v>37</v>
      </c>
      <c r="AB10" s="2">
        <v>130</v>
      </c>
      <c r="AC10" s="2">
        <v>136</v>
      </c>
      <c r="AD10" s="2">
        <v>100</v>
      </c>
      <c r="AE10" s="2">
        <v>53</v>
      </c>
      <c r="AF10" s="2">
        <v>42</v>
      </c>
      <c r="AG10" s="2" t="str">
        <f>TEXT(31.2, "#,##0.0")</f>
        <v>31.2</v>
      </c>
      <c r="AH10" s="2" t="str">
        <f>TEXT(24, "#,##0.0")</f>
        <v>24.0</v>
      </c>
      <c r="AI10" s="2">
        <v>19</v>
      </c>
      <c r="AJ10" s="2">
        <v>2</v>
      </c>
      <c r="AK10" s="2">
        <v>5</v>
      </c>
    </row>
    <row r="11" spans="1:37">
      <c r="A11" s="60" t="s">
        <v>190</v>
      </c>
      <c r="B11" s="60" t="s">
        <v>191</v>
      </c>
      <c r="C11" s="57">
        <f>_xll.MSNStockQuote.Functions.MSNStockQuote($A11,"ask Price","US")</f>
        <v>42.5</v>
      </c>
      <c r="D11" s="52">
        <v>45</v>
      </c>
      <c r="E11" s="53" t="str">
        <f t="shared" si="0"/>
        <v>45.0</v>
      </c>
      <c r="F11" s="54">
        <v>1</v>
      </c>
      <c r="G11" s="54">
        <v>11</v>
      </c>
      <c r="H11" s="55" t="str">
        <f t="shared" si="1"/>
        <v>\11A22\</v>
      </c>
      <c r="I11" s="56" t="str">
        <f t="shared" si="2"/>
        <v>.SNDK\11A22\45.0</v>
      </c>
      <c r="J11" s="57">
        <f>_xll.MSNStockQuote.Functions.MSNStockQuote($I11,"Bid Price","US")</f>
        <v>0</v>
      </c>
      <c r="K11" s="55">
        <f t="shared" ca="1" si="3"/>
        <v>186.45289317129937</v>
      </c>
      <c r="L11" s="57">
        <f t="shared" si="4"/>
        <v>42.5</v>
      </c>
      <c r="M11" s="58">
        <f t="shared" si="5"/>
        <v>0</v>
      </c>
      <c r="N11" s="57">
        <f t="shared" si="6"/>
        <v>0</v>
      </c>
      <c r="O11" s="59">
        <f t="shared" si="7"/>
        <v>0</v>
      </c>
      <c r="P11" s="59">
        <f t="shared" ca="1" si="8"/>
        <v>0</v>
      </c>
      <c r="Q11" s="4" t="str">
        <f>TEXT(-0.1, "#,##0.00")</f>
        <v>-0.10</v>
      </c>
      <c r="R11" s="4" t="str">
        <f>TEXT(-0.2, "#,##0.0")</f>
        <v>-0.2</v>
      </c>
      <c r="S11" s="4" t="str">
        <f>TEXT(-9.38, "#,##0.00")</f>
        <v>-9.38</v>
      </c>
      <c r="T11" s="4">
        <v>12283</v>
      </c>
      <c r="U11" s="4" t="str">
        <f>TEXT(-3.7, "#,##0.0")</f>
        <v>-3.7</v>
      </c>
      <c r="V11" s="4">
        <v>96</v>
      </c>
      <c r="W11" s="4">
        <v>79</v>
      </c>
      <c r="X11" s="4">
        <v>97</v>
      </c>
      <c r="Y11" s="4" t="s">
        <v>26</v>
      </c>
      <c r="Z11" s="4" t="s">
        <v>27</v>
      </c>
      <c r="AA11" s="4" t="s">
        <v>27</v>
      </c>
      <c r="AB11" s="4" t="s">
        <v>39</v>
      </c>
      <c r="AC11" s="4" t="s">
        <v>39</v>
      </c>
      <c r="AD11" s="4">
        <v>147</v>
      </c>
      <c r="AE11" s="4">
        <v>109</v>
      </c>
      <c r="AF11" s="4">
        <v>65</v>
      </c>
      <c r="AG11" s="4" t="str">
        <f>TEXT(11.6, "#,##0.0")</f>
        <v>11.6</v>
      </c>
      <c r="AH11" s="4" t="str">
        <f>TEXT(18.7, "#,##0.0")</f>
        <v>18.7</v>
      </c>
      <c r="AI11" s="4">
        <v>4</v>
      </c>
      <c r="AJ11" s="4">
        <v>0</v>
      </c>
      <c r="AK11" s="4">
        <v>98</v>
      </c>
    </row>
    <row r="12" spans="1:37">
      <c r="A12" s="60" t="s">
        <v>108</v>
      </c>
      <c r="B12" s="60" t="s">
        <v>109</v>
      </c>
      <c r="C12" s="57">
        <f>_xll.MSNStockQuote.Functions.MSNStockQuote($A12,"ask Price","US")</f>
        <v>23.389999389648398</v>
      </c>
      <c r="D12" s="52">
        <v>22.5</v>
      </c>
      <c r="E12" s="53" t="str">
        <f t="shared" si="0"/>
        <v>22.5</v>
      </c>
      <c r="F12" s="54">
        <v>12</v>
      </c>
      <c r="G12" s="54">
        <v>10</v>
      </c>
      <c r="H12" s="55" t="str">
        <f t="shared" si="1"/>
        <v>\10L18\</v>
      </c>
      <c r="I12" s="56" t="str">
        <f t="shared" si="2"/>
        <v>.STRI\10L18\22.5</v>
      </c>
      <c r="J12" s="57">
        <f>_xll.MSNStockQuote.Functions.MSNStockQuote($I12,"Bid Price","US")</f>
        <v>0</v>
      </c>
      <c r="K12" s="55">
        <f t="shared" ca="1" si="3"/>
        <v>151.45289317129937</v>
      </c>
      <c r="L12" s="57">
        <f t="shared" si="4"/>
        <v>23.389999389648398</v>
      </c>
      <c r="M12" s="58">
        <f t="shared" si="5"/>
        <v>0</v>
      </c>
      <c r="N12" s="57">
        <f t="shared" si="6"/>
        <v>-0.88999938964839842</v>
      </c>
      <c r="O12" s="59">
        <f t="shared" si="7"/>
        <v>-3.8050423808146022E-2</v>
      </c>
      <c r="P12" s="59">
        <f t="shared" ca="1" si="8"/>
        <v>-9.1701151421815036E-2</v>
      </c>
      <c r="Q12" s="2" t="str">
        <f>TEXT(0.55, "#,##0.00")</f>
        <v>0.55</v>
      </c>
      <c r="R12" s="2" t="str">
        <f>TEXT(2.5, "#,##0.0")</f>
        <v>2.5</v>
      </c>
      <c r="S12" s="2" t="str">
        <f>TEXT(-11.39, "#,##0.00")</f>
        <v>-11.39</v>
      </c>
      <c r="T12" s="2">
        <v>397</v>
      </c>
      <c r="U12" s="2" t="str">
        <f>TEXT(6.8, "#,##0.0")</f>
        <v>6.8</v>
      </c>
      <c r="V12" s="2">
        <v>87</v>
      </c>
      <c r="W12" s="2">
        <v>94</v>
      </c>
      <c r="X12" s="2">
        <v>94</v>
      </c>
      <c r="Y12" s="2" t="s">
        <v>39</v>
      </c>
      <c r="Z12" s="2" t="s">
        <v>32</v>
      </c>
      <c r="AA12" s="2" t="s">
        <v>78</v>
      </c>
      <c r="AB12" s="2">
        <v>138</v>
      </c>
      <c r="AC12" s="2">
        <v>200</v>
      </c>
      <c r="AD12" s="2">
        <v>386</v>
      </c>
      <c r="AE12" s="2">
        <v>95</v>
      </c>
      <c r="AF12" s="2">
        <v>37</v>
      </c>
      <c r="AG12" s="2" t="s">
        <v>39</v>
      </c>
      <c r="AH12" s="2" t="s">
        <v>39</v>
      </c>
      <c r="AI12" s="2">
        <v>0</v>
      </c>
      <c r="AJ12" s="2">
        <v>0</v>
      </c>
      <c r="AK12" s="2">
        <v>43</v>
      </c>
    </row>
    <row r="13" spans="1:37">
      <c r="A13" s="60" t="s">
        <v>72</v>
      </c>
      <c r="B13" s="60" t="s">
        <v>73</v>
      </c>
      <c r="C13" s="57">
        <f>_xll.MSNStockQuote.Functions.MSNStockQuote($A13,"ask Price","US")</f>
        <v>2000</v>
      </c>
      <c r="D13" s="52">
        <v>35</v>
      </c>
      <c r="E13" s="53" t="str">
        <f t="shared" si="0"/>
        <v>35.0</v>
      </c>
      <c r="F13" s="54">
        <v>12</v>
      </c>
      <c r="G13" s="54">
        <v>10</v>
      </c>
      <c r="H13" s="55" t="str">
        <f t="shared" si="1"/>
        <v>\10L18\</v>
      </c>
      <c r="I13" s="56" t="str">
        <f t="shared" si="2"/>
        <v>.DGIT\10L18\35.0</v>
      </c>
      <c r="J13" s="57">
        <f>_xll.MSNStockQuote.Functions.MSNStockQuote($I13,"Bid Price","US")</f>
        <v>0</v>
      </c>
      <c r="K13" s="55">
        <f t="shared" ca="1" si="3"/>
        <v>151.45289317129937</v>
      </c>
      <c r="L13" s="57">
        <f t="shared" si="4"/>
        <v>2000</v>
      </c>
      <c r="M13" s="58">
        <f t="shared" si="5"/>
        <v>0</v>
      </c>
      <c r="N13" s="57">
        <f t="shared" si="6"/>
        <v>-1965</v>
      </c>
      <c r="O13" s="59">
        <f t="shared" si="7"/>
        <v>-0.98250000000000004</v>
      </c>
      <c r="P13" s="59">
        <f t="shared" ca="1" si="8"/>
        <v>-2.367815447370786</v>
      </c>
      <c r="Q13" s="2" t="str">
        <f>TEXT(1.91, "#,##0.00")</f>
        <v>1.91</v>
      </c>
      <c r="R13" s="2" t="str">
        <f>TEXT(5.6, "#,##0.0")</f>
        <v>5.6</v>
      </c>
      <c r="S13" s="2" t="str">
        <f>TEXT(-22.2, "#,##0.00")</f>
        <v>-22.20</v>
      </c>
      <c r="T13" s="2">
        <v>363</v>
      </c>
      <c r="U13" s="2" t="str">
        <f>TEXT(-31.2, "#,##0.0")</f>
        <v>-31.2</v>
      </c>
      <c r="V13" s="2">
        <v>96</v>
      </c>
      <c r="W13" s="2">
        <v>97</v>
      </c>
      <c r="X13" s="2">
        <v>91</v>
      </c>
      <c r="Y13" s="2" t="s">
        <v>26</v>
      </c>
      <c r="Z13" s="2" t="s">
        <v>27</v>
      </c>
      <c r="AA13" s="2" t="s">
        <v>27</v>
      </c>
      <c r="AB13" s="2">
        <v>116</v>
      </c>
      <c r="AC13" s="2">
        <v>21</v>
      </c>
      <c r="AD13" s="2">
        <v>-44</v>
      </c>
      <c r="AE13" s="2">
        <v>-29</v>
      </c>
      <c r="AF13" s="2">
        <v>31</v>
      </c>
      <c r="AG13" s="2" t="str">
        <f>TEXT(14.9, "#,##0.0")</f>
        <v>14.9</v>
      </c>
      <c r="AH13" s="2" t="str">
        <f>TEXT(26.8, "#,##0.0")</f>
        <v>26.8</v>
      </c>
      <c r="AI13" s="2">
        <v>13</v>
      </c>
      <c r="AJ13" s="2">
        <v>0</v>
      </c>
      <c r="AK13" s="2">
        <v>25</v>
      </c>
    </row>
    <row r="14" spans="1:37">
      <c r="A14" s="60" t="s">
        <v>29</v>
      </c>
      <c r="B14" s="60" t="s">
        <v>30</v>
      </c>
      <c r="C14" s="57">
        <f>_xll.MSNStockQuote.Functions.MSNStockQuote($A14,"ask Price","US")</f>
        <v>39.900001525878899</v>
      </c>
      <c r="D14" s="52">
        <v>40</v>
      </c>
      <c r="E14" s="53" t="str">
        <f t="shared" si="0"/>
        <v>40.0</v>
      </c>
      <c r="F14" s="54">
        <v>12</v>
      </c>
      <c r="G14" s="54">
        <v>10</v>
      </c>
      <c r="H14" s="55" t="str">
        <f t="shared" si="1"/>
        <v>\10L18\</v>
      </c>
      <c r="I14" s="56" t="str">
        <f t="shared" si="2"/>
        <v>.LULU\10L18\40.0</v>
      </c>
      <c r="J14" s="57">
        <f>_xll.MSNStockQuote.Functions.MSNStockQuote($I14,"Bid Price","US")</f>
        <v>0</v>
      </c>
      <c r="K14" s="55">
        <f t="shared" ca="1" si="3"/>
        <v>151.45289317129937</v>
      </c>
      <c r="L14" s="57">
        <f t="shared" si="4"/>
        <v>39.900001525878899</v>
      </c>
      <c r="M14" s="58">
        <f t="shared" si="5"/>
        <v>0</v>
      </c>
      <c r="N14" s="57">
        <f t="shared" si="6"/>
        <v>0</v>
      </c>
      <c r="O14" s="59">
        <f t="shared" si="7"/>
        <v>0</v>
      </c>
      <c r="P14" s="59">
        <f t="shared" ca="1" si="8"/>
        <v>0</v>
      </c>
      <c r="Q14" s="4" t="str">
        <f>TEXT(0.26, "#,##0.00")</f>
        <v>0.26</v>
      </c>
      <c r="R14" s="4" t="str">
        <f>TEXT(0.7, "#,##0.0")</f>
        <v>0.7</v>
      </c>
      <c r="S14" s="4" t="str">
        <f>TEXT(-16.39, "#,##0.00")</f>
        <v>-16.39</v>
      </c>
      <c r="T14" s="4">
        <v>1483</v>
      </c>
      <c r="U14" s="4" t="str">
        <f>TEXT(-16.1, "#,##0.0")</f>
        <v>-16.1</v>
      </c>
      <c r="V14" s="4">
        <v>99</v>
      </c>
      <c r="W14" s="4">
        <v>99</v>
      </c>
      <c r="X14" s="4">
        <v>96</v>
      </c>
      <c r="Y14" s="4" t="s">
        <v>26</v>
      </c>
      <c r="Z14" s="4" t="s">
        <v>31</v>
      </c>
      <c r="AA14" s="4" t="s">
        <v>32</v>
      </c>
      <c r="AB14" s="4">
        <v>200</v>
      </c>
      <c r="AC14" s="4">
        <v>100</v>
      </c>
      <c r="AD14" s="4">
        <v>85</v>
      </c>
      <c r="AE14" s="4">
        <v>41</v>
      </c>
      <c r="AF14" s="4">
        <v>69</v>
      </c>
      <c r="AG14" s="4" t="str">
        <f>TEXT(30, "#,##0.0")</f>
        <v>30.0</v>
      </c>
      <c r="AH14" s="4" t="str">
        <f>TEXT(19.1, "#,##0.0")</f>
        <v>19.1</v>
      </c>
      <c r="AI14" s="4">
        <v>11</v>
      </c>
      <c r="AJ14" s="4">
        <v>4</v>
      </c>
      <c r="AK14" s="4">
        <v>2</v>
      </c>
    </row>
    <row r="15" spans="1:37">
      <c r="A15" s="60" t="s">
        <v>164</v>
      </c>
      <c r="B15" s="60" t="s">
        <v>165</v>
      </c>
      <c r="C15" s="57">
        <f>_xll.MSNStockQuote.Functions.MSNStockQuote($A15,"ask Price","US")</f>
        <v>33</v>
      </c>
      <c r="D15" s="52">
        <v>35</v>
      </c>
      <c r="E15" s="53" t="str">
        <f t="shared" si="0"/>
        <v>35.0</v>
      </c>
      <c r="F15" s="54">
        <v>1</v>
      </c>
      <c r="G15" s="54">
        <v>11</v>
      </c>
      <c r="H15" s="55" t="str">
        <f t="shared" si="1"/>
        <v>\11A22\</v>
      </c>
      <c r="I15" s="56" t="str">
        <f t="shared" si="2"/>
        <v>.SKX\11A22\35.0</v>
      </c>
      <c r="J15" s="57">
        <f>_xll.MSNStockQuote.Functions.MSNStockQuote($I15,"Bid Price","US")</f>
        <v>0</v>
      </c>
      <c r="K15" s="55">
        <f t="shared" ca="1" si="3"/>
        <v>186.45289317129937</v>
      </c>
      <c r="L15" s="57">
        <f t="shared" si="4"/>
        <v>33</v>
      </c>
      <c r="M15" s="58">
        <f t="shared" si="5"/>
        <v>0</v>
      </c>
      <c r="N15" s="57">
        <f t="shared" si="6"/>
        <v>0</v>
      </c>
      <c r="O15" s="59">
        <f t="shared" si="7"/>
        <v>0</v>
      </c>
      <c r="P15" s="59">
        <f t="shared" ca="1" si="8"/>
        <v>0</v>
      </c>
      <c r="Q15" s="2" t="str">
        <f>TEXT(1.01, "#,##0.00")</f>
        <v>1.01</v>
      </c>
      <c r="R15" s="2" t="str">
        <f>TEXT(2.9, "#,##0.0")</f>
        <v>2.9</v>
      </c>
      <c r="S15" s="2" t="str">
        <f>TEXT(-21.92, "#,##0.00")</f>
        <v>-21.92</v>
      </c>
      <c r="T15" s="2">
        <v>1924</v>
      </c>
      <c r="U15" s="2" t="str">
        <f>TEXT(43.9, "#,##0.0")</f>
        <v>43.9</v>
      </c>
      <c r="V15" s="2">
        <v>98</v>
      </c>
      <c r="W15" s="2">
        <v>77</v>
      </c>
      <c r="X15" s="2">
        <v>98</v>
      </c>
      <c r="Y15" s="2" t="s">
        <v>35</v>
      </c>
      <c r="Z15" s="2" t="s">
        <v>27</v>
      </c>
      <c r="AA15" s="2" t="s">
        <v>36</v>
      </c>
      <c r="AB15" s="2">
        <v>539</v>
      </c>
      <c r="AC15" s="2" t="s">
        <v>39</v>
      </c>
      <c r="AD15" s="2">
        <v>415</v>
      </c>
      <c r="AE15" s="2">
        <v>174</v>
      </c>
      <c r="AF15" s="2">
        <v>43</v>
      </c>
      <c r="AG15" s="2" t="str">
        <f>TEXT(7.7, "#,##0.0")</f>
        <v>7.7</v>
      </c>
      <c r="AH15" s="2" t="str">
        <f>TEXT(5, "#,##0.0")</f>
        <v>5.0</v>
      </c>
      <c r="AI15" s="2">
        <v>17</v>
      </c>
      <c r="AJ15" s="2">
        <v>2</v>
      </c>
      <c r="AK15" s="2">
        <v>81</v>
      </c>
    </row>
    <row r="16" spans="1:37">
      <c r="A16" s="60" t="s">
        <v>136</v>
      </c>
      <c r="B16" s="60" t="s">
        <v>137</v>
      </c>
      <c r="C16" s="57">
        <f>_xll.MSNStockQuote.Functions.MSNStockQuote($A16,"ask Price","US")</f>
        <v>80.099998474121094</v>
      </c>
      <c r="D16" s="52">
        <v>80</v>
      </c>
      <c r="E16" s="53" t="str">
        <f t="shared" si="0"/>
        <v>80.0</v>
      </c>
      <c r="F16" s="54">
        <v>12</v>
      </c>
      <c r="G16" s="54">
        <v>10</v>
      </c>
      <c r="H16" s="55" t="str">
        <f t="shared" si="1"/>
        <v>\10L18\</v>
      </c>
      <c r="I16" s="56" t="str">
        <f t="shared" si="2"/>
        <v>.WYNN\10L18\80.0</v>
      </c>
      <c r="J16" s="57">
        <f>_xll.MSNStockQuote.Functions.MSNStockQuote($I16,"Bid Price","US")</f>
        <v>0</v>
      </c>
      <c r="K16" s="55">
        <f t="shared" ca="1" si="3"/>
        <v>151.45289317129937</v>
      </c>
      <c r="L16" s="57">
        <f t="shared" si="4"/>
        <v>80.099998474121094</v>
      </c>
      <c r="M16" s="58">
        <f t="shared" si="5"/>
        <v>0</v>
      </c>
      <c r="N16" s="57">
        <f t="shared" si="6"/>
        <v>-9.999847412109375E-2</v>
      </c>
      <c r="O16" s="59">
        <f t="shared" si="7"/>
        <v>-1.2484204247944087E-3</v>
      </c>
      <c r="P16" s="59">
        <f t="shared" ca="1" si="8"/>
        <v>-3.0086810856401009E-3</v>
      </c>
      <c r="Q16" s="2" t="str">
        <f>TEXT(3.41, "#,##0.00")</f>
        <v>3.41</v>
      </c>
      <c r="R16" s="2" t="str">
        <f>TEXT(4.4, "#,##0.0")</f>
        <v>4.4</v>
      </c>
      <c r="S16" s="2" t="str">
        <f>TEXT(-17.21, "#,##0.00")</f>
        <v>-17.21</v>
      </c>
      <c r="T16" s="2">
        <v>3185</v>
      </c>
      <c r="U16" s="2" t="str">
        <f>TEXT(-1, "#,##0.0")</f>
        <v>-1.0</v>
      </c>
      <c r="V16" s="2">
        <v>85</v>
      </c>
      <c r="W16" s="2">
        <v>95</v>
      </c>
      <c r="X16" s="2">
        <v>92</v>
      </c>
      <c r="Y16" s="2" t="s">
        <v>37</v>
      </c>
      <c r="Z16" s="2" t="s">
        <v>78</v>
      </c>
      <c r="AA16" s="2" t="s">
        <v>85</v>
      </c>
      <c r="AB16" s="2" t="s">
        <v>39</v>
      </c>
      <c r="AC16" s="2">
        <v>14</v>
      </c>
      <c r="AD16" s="2">
        <v>278</v>
      </c>
      <c r="AE16" s="2">
        <v>365</v>
      </c>
      <c r="AF16" s="2">
        <v>23</v>
      </c>
      <c r="AG16" s="2" t="str">
        <f>TEXT(1.4, "#,##0.0")</f>
        <v>1.4</v>
      </c>
      <c r="AH16" s="2" t="str">
        <f>TEXT(1.8, "#,##0.0")</f>
        <v>1.8</v>
      </c>
      <c r="AI16" s="2">
        <v>39</v>
      </c>
      <c r="AJ16" s="2">
        <v>0</v>
      </c>
      <c r="AK16" s="2">
        <v>63</v>
      </c>
    </row>
    <row r="17" spans="1:37">
      <c r="A17" s="60" t="s">
        <v>146</v>
      </c>
      <c r="B17" s="60" t="s">
        <v>147</v>
      </c>
      <c r="C17" s="57">
        <f>_xll.MSNStockQuote.Functions.MSNStockQuote($A17,"ask Price","US")</f>
        <v>70.199996948242202</v>
      </c>
      <c r="D17" s="52">
        <v>72.5</v>
      </c>
      <c r="E17" s="53" t="str">
        <f t="shared" si="0"/>
        <v>72.5</v>
      </c>
      <c r="F17" s="54">
        <v>1</v>
      </c>
      <c r="G17" s="54">
        <v>11</v>
      </c>
      <c r="H17" s="55" t="str">
        <f t="shared" si="1"/>
        <v>\11A22\</v>
      </c>
      <c r="I17" s="56" t="str">
        <f t="shared" si="2"/>
        <v>.CMI\11A22\72.5</v>
      </c>
      <c r="J17" s="57">
        <f>_xll.MSNStockQuote.Functions.MSNStockQuote($I17,"Bid Price","US")</f>
        <v>0</v>
      </c>
      <c r="K17" s="55">
        <f t="shared" ca="1" si="3"/>
        <v>186.45289317129937</v>
      </c>
      <c r="L17" s="57">
        <f t="shared" si="4"/>
        <v>70.199996948242202</v>
      </c>
      <c r="M17" s="58">
        <f t="shared" si="5"/>
        <v>0</v>
      </c>
      <c r="N17" s="57">
        <f t="shared" si="6"/>
        <v>0</v>
      </c>
      <c r="O17" s="59">
        <f t="shared" si="7"/>
        <v>0</v>
      </c>
      <c r="P17" s="59">
        <f t="shared" ca="1" si="8"/>
        <v>0</v>
      </c>
      <c r="Q17" s="4" t="str">
        <f>TEXT(3.07, "#,##0.00")</f>
        <v>3.07</v>
      </c>
      <c r="R17" s="4" t="str">
        <f>TEXT(4.3, "#,##0.0")</f>
        <v>4.3</v>
      </c>
      <c r="S17" s="4" t="str">
        <f>TEXT(-8.35, "#,##0.00")</f>
        <v>-8.35</v>
      </c>
      <c r="T17" s="4">
        <v>4243</v>
      </c>
      <c r="U17" s="4" t="str">
        <f>TEXT(14.7, "#,##0.0")</f>
        <v>14.7</v>
      </c>
      <c r="V17" s="4">
        <v>92</v>
      </c>
      <c r="W17" s="4">
        <v>88</v>
      </c>
      <c r="X17" s="4">
        <v>94</v>
      </c>
      <c r="Y17" s="4" t="s">
        <v>37</v>
      </c>
      <c r="Z17" s="4" t="s">
        <v>31</v>
      </c>
      <c r="AA17" s="4" t="s">
        <v>36</v>
      </c>
      <c r="AB17" s="4">
        <v>188</v>
      </c>
      <c r="AC17" s="4">
        <v>357</v>
      </c>
      <c r="AD17" s="4">
        <v>197</v>
      </c>
      <c r="AE17" s="4">
        <v>53</v>
      </c>
      <c r="AF17" s="4">
        <v>2</v>
      </c>
      <c r="AG17" s="4" t="str">
        <f>TEXT(14.1, "#,##0.0")</f>
        <v>14.1</v>
      </c>
      <c r="AH17" s="4" t="str">
        <f>TEXT(6.8, "#,##0.0")</f>
        <v>6.8</v>
      </c>
      <c r="AI17" s="4">
        <v>0</v>
      </c>
      <c r="AJ17" s="4">
        <v>0</v>
      </c>
      <c r="AK17" s="4">
        <v>70</v>
      </c>
    </row>
    <row r="18" spans="1:37">
      <c r="A18" s="60" t="s">
        <v>90</v>
      </c>
      <c r="B18" s="60" t="s">
        <v>91</v>
      </c>
      <c r="C18" s="57">
        <f>_xll.MSNStockQuote.Functions.MSNStockQuote($A18,"ask Price","US")</f>
        <v>30.299999237060501</v>
      </c>
      <c r="D18" s="52">
        <v>30</v>
      </c>
      <c r="E18" s="53" t="str">
        <f t="shared" si="0"/>
        <v>30.0</v>
      </c>
      <c r="F18" s="54">
        <v>2</v>
      </c>
      <c r="G18" s="54">
        <v>11</v>
      </c>
      <c r="H18" s="55" t="str">
        <f t="shared" si="1"/>
        <v>\11B19\</v>
      </c>
      <c r="I18" s="56" t="str">
        <f t="shared" si="2"/>
        <v>.APKT\11B19\30.0</v>
      </c>
      <c r="J18" s="57">
        <f>_xll.MSNStockQuote.Functions.MSNStockQuote($I18,"Bid Price","US")</f>
        <v>0</v>
      </c>
      <c r="K18" s="55">
        <f t="shared" ca="1" si="3"/>
        <v>214.45289317129937</v>
      </c>
      <c r="L18" s="57">
        <f t="shared" si="4"/>
        <v>30.299999237060501</v>
      </c>
      <c r="M18" s="58">
        <f t="shared" si="5"/>
        <v>0</v>
      </c>
      <c r="N18" s="57">
        <f t="shared" si="6"/>
        <v>-0.29999923706050069</v>
      </c>
      <c r="O18" s="59">
        <f t="shared" si="7"/>
        <v>-9.9009651687900369E-3</v>
      </c>
      <c r="P18" s="59">
        <f t="shared" ca="1" si="8"/>
        <v>-1.6851497003221649E-2</v>
      </c>
      <c r="Q18" s="2" t="str">
        <f>TEXT(0.74, "#,##0.00")</f>
        <v>0.74</v>
      </c>
      <c r="R18" s="2" t="str">
        <f>TEXT(2.5, "#,##0.0")</f>
        <v>2.5</v>
      </c>
      <c r="S18" s="2" t="str">
        <f>TEXT(-4.14, "#,##0.00")</f>
        <v>-4.14</v>
      </c>
      <c r="T18" s="2">
        <v>1005</v>
      </c>
      <c r="U18" s="2" t="str">
        <f>TEXT(-19.2, "#,##0.0")</f>
        <v>-19.2</v>
      </c>
      <c r="V18" s="2">
        <v>98</v>
      </c>
      <c r="W18" s="2">
        <v>87</v>
      </c>
      <c r="X18" s="2">
        <v>99</v>
      </c>
      <c r="Y18" s="2" t="s">
        <v>26</v>
      </c>
      <c r="Z18" s="2" t="s">
        <v>35</v>
      </c>
      <c r="AA18" s="2" t="s">
        <v>38</v>
      </c>
      <c r="AB18" s="2">
        <v>129</v>
      </c>
      <c r="AC18" s="2">
        <v>22</v>
      </c>
      <c r="AD18" s="2">
        <v>143</v>
      </c>
      <c r="AE18" s="2">
        <v>94</v>
      </c>
      <c r="AF18" s="2">
        <v>65</v>
      </c>
      <c r="AG18" s="2" t="str">
        <f>TEXT(12.3, "#,##0.0")</f>
        <v>12.3</v>
      </c>
      <c r="AH18" s="2" t="str">
        <f>TEXT(22.1, "#,##0.0")</f>
        <v>22.1</v>
      </c>
      <c r="AI18" s="2">
        <v>27</v>
      </c>
      <c r="AJ18" s="2">
        <v>5</v>
      </c>
      <c r="AK18" s="2">
        <v>33</v>
      </c>
    </row>
    <row r="19" spans="1:37">
      <c r="A19" s="60" t="s">
        <v>148</v>
      </c>
      <c r="B19" s="60" t="s">
        <v>149</v>
      </c>
      <c r="C19" s="57">
        <f>_xll.MSNStockQuote.Functions.MSNStockQuote($A19,"ask Price","US")</f>
        <v>47.799999237060497</v>
      </c>
      <c r="D19" s="52">
        <v>50</v>
      </c>
      <c r="E19" s="53" t="str">
        <f t="shared" si="0"/>
        <v>50.0</v>
      </c>
      <c r="F19" s="54">
        <v>1</v>
      </c>
      <c r="G19" s="54">
        <v>11</v>
      </c>
      <c r="H19" s="55" t="str">
        <f t="shared" si="1"/>
        <v>\11A22\</v>
      </c>
      <c r="I19" s="56" t="str">
        <f t="shared" si="2"/>
        <v>.CSTR\11A22\50.0</v>
      </c>
      <c r="J19" s="57">
        <f>_xll.MSNStockQuote.Functions.MSNStockQuote($I19,"Bid Price","US")</f>
        <v>0</v>
      </c>
      <c r="K19" s="55">
        <f t="shared" ca="1" si="3"/>
        <v>186.45289317129937</v>
      </c>
      <c r="L19" s="57">
        <f t="shared" si="4"/>
        <v>47.799999237060497</v>
      </c>
      <c r="M19" s="58">
        <f t="shared" si="5"/>
        <v>0</v>
      </c>
      <c r="N19" s="57">
        <f t="shared" si="6"/>
        <v>0</v>
      </c>
      <c r="O19" s="59">
        <f t="shared" si="7"/>
        <v>0</v>
      </c>
      <c r="P19" s="59">
        <f t="shared" ca="1" si="8"/>
        <v>0</v>
      </c>
      <c r="Q19" s="2" t="str">
        <f>TEXT(0.97, "#,##0.00")</f>
        <v>0.97</v>
      </c>
      <c r="R19" s="2" t="str">
        <f>TEXT(2.1, "#,##0.0")</f>
        <v>2.1</v>
      </c>
      <c r="S19" s="2" t="str">
        <f>TEXT(-21.96, "#,##0.00")</f>
        <v>-21.96</v>
      </c>
      <c r="T19" s="2">
        <v>692</v>
      </c>
      <c r="U19" s="2" t="str">
        <f>TEXT(-63, "#,##0.0")</f>
        <v>-63.0</v>
      </c>
      <c r="V19" s="2">
        <v>97</v>
      </c>
      <c r="W19" s="2">
        <v>86</v>
      </c>
      <c r="X19" s="2">
        <v>95</v>
      </c>
      <c r="Y19" s="2" t="s">
        <v>35</v>
      </c>
      <c r="Z19" s="2" t="s">
        <v>61</v>
      </c>
      <c r="AA19" s="2" t="s">
        <v>36</v>
      </c>
      <c r="AB19" s="2">
        <v>254</v>
      </c>
      <c r="AC19" s="2">
        <v>45</v>
      </c>
      <c r="AD19" s="2">
        <v>10</v>
      </c>
      <c r="AE19" s="2">
        <v>72</v>
      </c>
      <c r="AF19" s="2">
        <v>47</v>
      </c>
      <c r="AG19" s="2" t="str">
        <f>TEXT(8.8, "#,##0.0")</f>
        <v>8.8</v>
      </c>
      <c r="AH19" s="2" t="str">
        <f>TEXT(5.2, "#,##0.0")</f>
        <v>5.2</v>
      </c>
      <c r="AI19" s="2">
        <v>2</v>
      </c>
      <c r="AJ19" s="2">
        <v>0</v>
      </c>
      <c r="AK19" s="2">
        <v>71</v>
      </c>
    </row>
    <row r="20" spans="1:37">
      <c r="A20" s="60" t="s">
        <v>124</v>
      </c>
      <c r="B20" s="60" t="s">
        <v>125</v>
      </c>
      <c r="C20" s="57">
        <f>_xll.MSNStockQuote.Functions.MSNStockQuote($A20,"ask Price","US")</f>
        <v>20.700000762939499</v>
      </c>
      <c r="D20" s="52">
        <v>20</v>
      </c>
      <c r="E20" s="53" t="str">
        <f t="shared" si="0"/>
        <v>20.0</v>
      </c>
      <c r="F20" s="54">
        <v>1</v>
      </c>
      <c r="G20" s="54">
        <v>11</v>
      </c>
      <c r="H20" s="55" t="str">
        <f t="shared" si="1"/>
        <v>\11A22\</v>
      </c>
      <c r="I20" s="56" t="str">
        <f t="shared" si="2"/>
        <v>.PAY\11A22\20.0</v>
      </c>
      <c r="J20" s="57">
        <f>_xll.MSNStockQuote.Functions.MSNStockQuote($I20,"Bid Price","US")</f>
        <v>0</v>
      </c>
      <c r="K20" s="55">
        <f t="shared" ca="1" si="3"/>
        <v>186.45289317129937</v>
      </c>
      <c r="L20" s="57">
        <f t="shared" si="4"/>
        <v>20.700000762939499</v>
      </c>
      <c r="M20" s="58">
        <f t="shared" si="5"/>
        <v>0</v>
      </c>
      <c r="N20" s="57">
        <f t="shared" si="6"/>
        <v>-0.70000076293949931</v>
      </c>
      <c r="O20" s="59">
        <f t="shared" si="7"/>
        <v>-3.3816460731380948E-2</v>
      </c>
      <c r="P20" s="59">
        <f t="shared" ca="1" si="8"/>
        <v>-6.6199070215629138E-2</v>
      </c>
      <c r="Q20" s="2" t="str">
        <f>TEXT(0.59, "#,##0.00")</f>
        <v>0.59</v>
      </c>
      <c r="R20" s="2" t="str">
        <f>TEXT(3, "#,##0.0")</f>
        <v>3.0</v>
      </c>
      <c r="S20" s="2" t="str">
        <f>TEXT(-16.72, "#,##0.00")</f>
        <v>-16.72</v>
      </c>
      <c r="T20" s="2">
        <v>743</v>
      </c>
      <c r="U20" s="2" t="str">
        <f>TEXT(-47.8, "#,##0.0")</f>
        <v>-47.8</v>
      </c>
      <c r="V20" s="2">
        <v>98</v>
      </c>
      <c r="W20" s="2">
        <v>87</v>
      </c>
      <c r="X20" s="2">
        <v>95</v>
      </c>
      <c r="Y20" s="2" t="s">
        <v>26</v>
      </c>
      <c r="Z20" s="2" t="s">
        <v>35</v>
      </c>
      <c r="AA20" s="2" t="s">
        <v>38</v>
      </c>
      <c r="AB20" s="2">
        <v>71</v>
      </c>
      <c r="AC20" s="2">
        <v>53</v>
      </c>
      <c r="AD20" s="2">
        <v>15</v>
      </c>
      <c r="AE20" s="2">
        <v>35</v>
      </c>
      <c r="AF20" s="2">
        <v>19</v>
      </c>
      <c r="AG20" s="2" t="str">
        <f>TEXT(83.3, "#,##0.0")</f>
        <v>83.3</v>
      </c>
      <c r="AH20" s="2" t="str">
        <f>TEXT(11.9, "#,##0.0")</f>
        <v>11.9</v>
      </c>
      <c r="AI20" s="2">
        <v>4</v>
      </c>
      <c r="AJ20" s="2">
        <v>3</v>
      </c>
      <c r="AK20" s="2">
        <v>55</v>
      </c>
    </row>
    <row r="21" spans="1:37">
      <c r="A21" s="60" t="s">
        <v>100</v>
      </c>
      <c r="B21" s="60" t="s">
        <v>101</v>
      </c>
      <c r="C21" s="57">
        <f>_xll.MSNStockQuote.Functions.MSNStockQuote($A21,"ask Price","US")</f>
        <v>33.880001068115199</v>
      </c>
      <c r="D21" s="52">
        <v>35</v>
      </c>
      <c r="E21" s="53" t="str">
        <f t="shared" si="0"/>
        <v>35.0</v>
      </c>
      <c r="F21" s="54">
        <v>1</v>
      </c>
      <c r="G21" s="54">
        <v>11</v>
      </c>
      <c r="H21" s="55" t="str">
        <f t="shared" si="1"/>
        <v>\11A22\</v>
      </c>
      <c r="I21" s="56" t="str">
        <f t="shared" si="2"/>
        <v>.UA\11A22\35.0</v>
      </c>
      <c r="J21" s="57">
        <f>_xll.MSNStockQuote.Functions.MSNStockQuote($I21,"Bid Price","US")</f>
        <v>0</v>
      </c>
      <c r="K21" s="55">
        <f t="shared" ca="1" si="3"/>
        <v>186.45289317129937</v>
      </c>
      <c r="L21" s="57">
        <f t="shared" si="4"/>
        <v>33.880001068115199</v>
      </c>
      <c r="M21" s="58">
        <f t="shared" si="5"/>
        <v>0</v>
      </c>
      <c r="N21" s="57">
        <f t="shared" si="6"/>
        <v>0</v>
      </c>
      <c r="O21" s="59">
        <f t="shared" si="7"/>
        <v>0</v>
      </c>
      <c r="P21" s="59">
        <f t="shared" ca="1" si="8"/>
        <v>0</v>
      </c>
      <c r="Q21" s="4" t="str">
        <f>TEXT(0.22, "#,##0.00")</f>
        <v>0.22</v>
      </c>
      <c r="R21" s="4" t="str">
        <f>TEXT(0.6, "#,##0.0")</f>
        <v>0.6</v>
      </c>
      <c r="S21" s="4" t="str">
        <f>TEXT(-7.56, "#,##0.00")</f>
        <v>-7.56</v>
      </c>
      <c r="T21" s="4">
        <v>865</v>
      </c>
      <c r="U21" s="4" t="str">
        <f>TEXT(-2, "#,##0.0")</f>
        <v>-2.0</v>
      </c>
      <c r="V21" s="4">
        <v>94</v>
      </c>
      <c r="W21" s="4">
        <v>96</v>
      </c>
      <c r="X21" s="4">
        <v>90</v>
      </c>
      <c r="Y21" s="4" t="s">
        <v>35</v>
      </c>
      <c r="Z21" s="4" t="s">
        <v>27</v>
      </c>
      <c r="AA21" s="4" t="s">
        <v>27</v>
      </c>
      <c r="AB21" s="4">
        <v>75</v>
      </c>
      <c r="AC21" s="4">
        <v>76</v>
      </c>
      <c r="AD21" s="4">
        <v>0</v>
      </c>
      <c r="AE21" s="4">
        <v>20</v>
      </c>
      <c r="AF21" s="4">
        <v>15</v>
      </c>
      <c r="AG21" s="4" t="str">
        <f>TEXT(12.8, "#,##0.0")</f>
        <v>12.8</v>
      </c>
      <c r="AH21" s="4" t="str">
        <f>TEXT(9.6, "#,##0.0")</f>
        <v>9.6</v>
      </c>
      <c r="AI21" s="4">
        <v>8</v>
      </c>
      <c r="AJ21" s="4">
        <v>0</v>
      </c>
      <c r="AK21" s="4">
        <v>38</v>
      </c>
    </row>
    <row r="22" spans="1:37">
      <c r="A22" s="60" t="s">
        <v>68</v>
      </c>
      <c r="B22" s="60" t="s">
        <v>69</v>
      </c>
      <c r="C22" s="57">
        <f>_xll.MSNStockQuote.Functions.MSNStockQuote($A22,"ask Price","US")</f>
        <v>28.440000534057599</v>
      </c>
      <c r="D22" s="52">
        <v>25</v>
      </c>
      <c r="E22" s="53" t="str">
        <f t="shared" si="0"/>
        <v>25.0</v>
      </c>
      <c r="F22" s="54">
        <v>12</v>
      </c>
      <c r="G22" s="54">
        <v>10</v>
      </c>
      <c r="H22" s="55" t="str">
        <f t="shared" si="1"/>
        <v>\10L18\</v>
      </c>
      <c r="I22" s="56" t="str">
        <f t="shared" si="2"/>
        <v>.VLTR\10L18\25.0</v>
      </c>
      <c r="J22" s="57">
        <f>_xll.MSNStockQuote.Functions.MSNStockQuote($I22,"Bid Price","US")</f>
        <v>0</v>
      </c>
      <c r="K22" s="55">
        <f t="shared" ca="1" si="3"/>
        <v>151.45289317129937</v>
      </c>
      <c r="L22" s="57">
        <f t="shared" si="4"/>
        <v>28.440000534057599</v>
      </c>
      <c r="M22" s="58">
        <f t="shared" si="5"/>
        <v>0</v>
      </c>
      <c r="N22" s="57">
        <f t="shared" si="6"/>
        <v>-3.4400005340575994</v>
      </c>
      <c r="O22" s="59">
        <f t="shared" si="7"/>
        <v>-0.12095641594444115</v>
      </c>
      <c r="P22" s="59">
        <f t="shared" ca="1" si="8"/>
        <v>-0.2915037863937443</v>
      </c>
      <c r="Q22" s="2" t="str">
        <f>TEXT(1.34, "#,##0.00")</f>
        <v>1.34</v>
      </c>
      <c r="R22" s="2" t="str">
        <f>TEXT(5.3, "#,##0.0")</f>
        <v>5.3</v>
      </c>
      <c r="S22" s="2" t="str">
        <f>TEXT(-15.4, "#,##0.00")</f>
        <v>-15.40</v>
      </c>
      <c r="T22" s="2">
        <v>574</v>
      </c>
      <c r="U22" s="2" t="str">
        <f>TEXT(0.2, "#,##0.0")</f>
        <v>0.2</v>
      </c>
      <c r="V22" s="2">
        <v>99</v>
      </c>
      <c r="W22" s="2">
        <v>96</v>
      </c>
      <c r="X22" s="2">
        <v>91</v>
      </c>
      <c r="Y22" s="2" t="s">
        <v>26</v>
      </c>
      <c r="Z22" s="2" t="s">
        <v>27</v>
      </c>
      <c r="AA22" s="2" t="s">
        <v>36</v>
      </c>
      <c r="AB22" s="2">
        <v>1067</v>
      </c>
      <c r="AC22" s="2">
        <v>278</v>
      </c>
      <c r="AD22" s="2">
        <v>270</v>
      </c>
      <c r="AE22" s="2">
        <v>128</v>
      </c>
      <c r="AF22" s="2">
        <v>99</v>
      </c>
      <c r="AG22" s="2" t="str">
        <f>TEXT(19.4, "#,##0.0")</f>
        <v>19.4</v>
      </c>
      <c r="AH22" s="2" t="str">
        <f>TEXT(15.8, "#,##0.0")</f>
        <v>15.8</v>
      </c>
      <c r="AI22" s="2">
        <v>11</v>
      </c>
      <c r="AJ22" s="2">
        <v>0</v>
      </c>
      <c r="AK22" s="2">
        <v>23</v>
      </c>
    </row>
    <row r="23" spans="1:37">
      <c r="A23" s="60" t="s">
        <v>59</v>
      </c>
      <c r="B23" s="60" t="s">
        <v>60</v>
      </c>
      <c r="C23" s="57">
        <f>_xll.MSNStockQuote.Functions.MSNStockQuote($A23,"ask Price","US")</f>
        <v>53.970001220703097</v>
      </c>
      <c r="D23" s="52">
        <v>55</v>
      </c>
      <c r="E23" s="53" t="str">
        <f t="shared" si="0"/>
        <v>55.0</v>
      </c>
      <c r="F23" s="54">
        <v>12</v>
      </c>
      <c r="G23" s="54">
        <v>10</v>
      </c>
      <c r="H23" s="55" t="str">
        <f t="shared" si="1"/>
        <v>\10L18\</v>
      </c>
      <c r="I23" s="56" t="str">
        <f t="shared" si="2"/>
        <v>.CXO\10L18\55.0</v>
      </c>
      <c r="J23" s="57">
        <f>_xll.MSNStockQuote.Functions.MSNStockQuote($I23,"Bid Price","US")</f>
        <v>0</v>
      </c>
      <c r="K23" s="55">
        <f t="shared" ca="1" si="3"/>
        <v>151.45289317129937</v>
      </c>
      <c r="L23" s="57">
        <f t="shared" si="4"/>
        <v>53.970001220703097</v>
      </c>
      <c r="M23" s="58">
        <f t="shared" si="5"/>
        <v>0</v>
      </c>
      <c r="N23" s="57">
        <f t="shared" si="6"/>
        <v>0</v>
      </c>
      <c r="O23" s="59">
        <f t="shared" si="7"/>
        <v>0</v>
      </c>
      <c r="P23" s="59">
        <f t="shared" ca="1" si="8"/>
        <v>0</v>
      </c>
      <c r="Q23" s="4" t="str">
        <f>TEXT(0.92, "#,##0.00")</f>
        <v>0.92</v>
      </c>
      <c r="R23" s="4" t="str">
        <f>TEXT(1.7, "#,##0.0")</f>
        <v>1.7</v>
      </c>
      <c r="S23" s="4" t="str">
        <f>TEXT(-12.12, "#,##0.00")</f>
        <v>-12.12</v>
      </c>
      <c r="T23" s="4">
        <v>532</v>
      </c>
      <c r="U23" s="4" t="str">
        <f>TEXT(-64.3, "#,##0.0")</f>
        <v>-64.3</v>
      </c>
      <c r="V23" s="4">
        <v>98</v>
      </c>
      <c r="W23" s="4">
        <v>98</v>
      </c>
      <c r="X23" s="4">
        <v>91</v>
      </c>
      <c r="Y23" s="4" t="s">
        <v>26</v>
      </c>
      <c r="Z23" s="4" t="s">
        <v>61</v>
      </c>
      <c r="AA23" s="4" t="s">
        <v>32</v>
      </c>
      <c r="AB23" s="4">
        <v>181</v>
      </c>
      <c r="AC23" s="4">
        <v>94</v>
      </c>
      <c r="AD23" s="4">
        <v>56</v>
      </c>
      <c r="AE23" s="4">
        <v>53</v>
      </c>
      <c r="AF23" s="4">
        <v>147</v>
      </c>
      <c r="AG23" s="4" t="str">
        <f>TEXT(10, "#,##0.0")</f>
        <v>10.0</v>
      </c>
      <c r="AH23" s="4" t="str">
        <f>TEXT(41.5, "#,##0.0")</f>
        <v>41.5</v>
      </c>
      <c r="AI23" s="4">
        <v>4</v>
      </c>
      <c r="AJ23" s="4">
        <v>0</v>
      </c>
      <c r="AK23" s="4">
        <v>16</v>
      </c>
    </row>
    <row r="24" spans="1:37">
      <c r="A24" s="60" t="s">
        <v>88</v>
      </c>
      <c r="B24" s="60" t="s">
        <v>89</v>
      </c>
      <c r="C24" s="57">
        <f>_xll.MSNStockQuote.Functions.MSNStockQuote($A24,"ask Price","US")</f>
        <v>92.800003051757798</v>
      </c>
      <c r="D24" s="52">
        <v>95</v>
      </c>
      <c r="E24" s="53" t="str">
        <f t="shared" si="0"/>
        <v>95.0</v>
      </c>
      <c r="F24" s="54">
        <v>1</v>
      </c>
      <c r="G24" s="54">
        <v>11</v>
      </c>
      <c r="H24" s="55" t="str">
        <f t="shared" si="1"/>
        <v>\11A22\</v>
      </c>
      <c r="I24" s="56" t="str">
        <f t="shared" si="2"/>
        <v>.CRM\11A22\95.0</v>
      </c>
      <c r="J24" s="57">
        <f>_xll.MSNStockQuote.Functions.MSNStockQuote($I24,"Bid Price","US")</f>
        <v>0</v>
      </c>
      <c r="K24" s="55">
        <f t="shared" ca="1" si="3"/>
        <v>186.45289317129937</v>
      </c>
      <c r="L24" s="57">
        <f t="shared" si="4"/>
        <v>92.800003051757798</v>
      </c>
      <c r="M24" s="58">
        <f t="shared" si="5"/>
        <v>0</v>
      </c>
      <c r="N24" s="57">
        <f t="shared" si="6"/>
        <v>0</v>
      </c>
      <c r="O24" s="59">
        <f t="shared" si="7"/>
        <v>0</v>
      </c>
      <c r="P24" s="59">
        <f t="shared" ca="1" si="8"/>
        <v>0</v>
      </c>
      <c r="Q24" s="4" t="str">
        <f>TEXT(1.8, "#,##0.00")</f>
        <v>1.80</v>
      </c>
      <c r="R24" s="4" t="str">
        <f>TEXT(2, "#,##0.0")</f>
        <v>2.0</v>
      </c>
      <c r="S24" s="4" t="str">
        <f>TEXT(-6.22, "#,##0.00")</f>
        <v>-6.22</v>
      </c>
      <c r="T24" s="4">
        <v>1509</v>
      </c>
      <c r="U24" s="4" t="str">
        <f>TEXT(-48.8, "#,##0.0")</f>
        <v>-48.8</v>
      </c>
      <c r="V24" s="4">
        <v>98</v>
      </c>
      <c r="W24" s="4">
        <v>90</v>
      </c>
      <c r="X24" s="4">
        <v>95</v>
      </c>
      <c r="Y24" s="4" t="s">
        <v>26</v>
      </c>
      <c r="Z24" s="4" t="s">
        <v>85</v>
      </c>
      <c r="AA24" s="4" t="s">
        <v>38</v>
      </c>
      <c r="AB24" s="4">
        <v>7</v>
      </c>
      <c r="AC24" s="4">
        <v>45</v>
      </c>
      <c r="AD24" s="4">
        <v>59</v>
      </c>
      <c r="AE24" s="4">
        <v>53</v>
      </c>
      <c r="AF24" s="4">
        <v>24</v>
      </c>
      <c r="AG24" s="4" t="str">
        <f>TEXT(11.4, "#,##0.0")</f>
        <v>11.4</v>
      </c>
      <c r="AH24" s="4" t="str">
        <f>TEXT(12.8, "#,##0.0")</f>
        <v>12.8</v>
      </c>
      <c r="AI24" s="4">
        <v>12</v>
      </c>
      <c r="AJ24" s="4">
        <v>0</v>
      </c>
      <c r="AK24" s="4">
        <v>32</v>
      </c>
    </row>
    <row r="25" spans="1:37">
      <c r="A25" s="60" t="s">
        <v>184</v>
      </c>
      <c r="B25" s="60" t="s">
        <v>185</v>
      </c>
      <c r="C25" s="57">
        <f>_xll.MSNStockQuote.Functions.MSNStockQuote($A25,"ask Price","US")</f>
        <v>2000</v>
      </c>
      <c r="D25" s="52">
        <v>35</v>
      </c>
      <c r="E25" s="53" t="str">
        <f t="shared" si="0"/>
        <v>35.0</v>
      </c>
      <c r="F25" s="54">
        <v>1</v>
      </c>
      <c r="G25" s="54">
        <v>11</v>
      </c>
      <c r="H25" s="55" t="str">
        <f t="shared" si="1"/>
        <v>\11A22\</v>
      </c>
      <c r="I25" s="56" t="str">
        <f t="shared" si="2"/>
        <v>.LTM\11A22\35.0</v>
      </c>
      <c r="J25" s="57">
        <f>_xll.MSNStockQuote.Functions.MSNStockQuote($I25,"Bid Price","US")</f>
        <v>0</v>
      </c>
      <c r="K25" s="55">
        <f t="shared" ca="1" si="3"/>
        <v>186.45289317129937</v>
      </c>
      <c r="L25" s="57">
        <f t="shared" si="4"/>
        <v>2000</v>
      </c>
      <c r="M25" s="58">
        <f t="shared" si="5"/>
        <v>0</v>
      </c>
      <c r="N25" s="57">
        <f t="shared" si="6"/>
        <v>-1965</v>
      </c>
      <c r="O25" s="59">
        <f t="shared" si="7"/>
        <v>-0.98250000000000004</v>
      </c>
      <c r="P25" s="59">
        <f t="shared" ca="1" si="8"/>
        <v>-1.9233410321530002</v>
      </c>
      <c r="Q25" s="2" t="str">
        <f>TEXT(1.23, "#,##0.00")</f>
        <v>1.23</v>
      </c>
      <c r="R25" s="2" t="str">
        <f>TEXT(3.4, "#,##0.0")</f>
        <v>3.4</v>
      </c>
      <c r="S25" s="2" t="str">
        <f>TEXT(-10.04, "#,##0.00")</f>
        <v>-10.04</v>
      </c>
      <c r="T25" s="2">
        <v>381</v>
      </c>
      <c r="U25" s="2" t="str">
        <f>TEXT(-28.2, "#,##0.0")</f>
        <v>-28.2</v>
      </c>
      <c r="V25" s="2">
        <v>89</v>
      </c>
      <c r="W25" s="2">
        <v>85</v>
      </c>
      <c r="X25" s="2">
        <v>93</v>
      </c>
      <c r="Y25" s="2" t="s">
        <v>35</v>
      </c>
      <c r="Z25" s="2" t="s">
        <v>85</v>
      </c>
      <c r="AA25" s="2" t="s">
        <v>35</v>
      </c>
      <c r="AB25" s="2">
        <v>16</v>
      </c>
      <c r="AC25" s="2">
        <v>12</v>
      </c>
      <c r="AD25" s="2">
        <v>13</v>
      </c>
      <c r="AE25" s="2">
        <v>11</v>
      </c>
      <c r="AF25" s="2">
        <v>6</v>
      </c>
      <c r="AG25" s="2" t="str">
        <f>TEXT(10.4, "#,##0.0")</f>
        <v>10.4</v>
      </c>
      <c r="AH25" s="2" t="str">
        <f>TEXT(14.3, "#,##0.0")</f>
        <v>14.3</v>
      </c>
      <c r="AI25" s="2">
        <v>6</v>
      </c>
      <c r="AJ25" s="2">
        <v>0</v>
      </c>
      <c r="AK25" s="2">
        <v>93</v>
      </c>
    </row>
    <row r="26" spans="1:37">
      <c r="A26" s="60" t="s">
        <v>74</v>
      </c>
      <c r="B26" s="60" t="s">
        <v>75</v>
      </c>
      <c r="C26" s="57">
        <f>_xll.MSNStockQuote.Functions.MSNStockQuote($A26,"ask Price","US")</f>
        <v>32.540000915527301</v>
      </c>
      <c r="D26" s="52">
        <v>30</v>
      </c>
      <c r="E26" s="53" t="str">
        <f t="shared" si="0"/>
        <v>30.0</v>
      </c>
      <c r="F26" s="54">
        <v>1</v>
      </c>
      <c r="G26" s="54">
        <v>11</v>
      </c>
      <c r="H26" s="55" t="str">
        <f t="shared" si="1"/>
        <v>\11A22\</v>
      </c>
      <c r="I26" s="56" t="str">
        <f t="shared" si="2"/>
        <v>.NETL\11A22\30.0</v>
      </c>
      <c r="J26" s="57">
        <f>_xll.MSNStockQuote.Functions.MSNStockQuote($I26,"Bid Price","US")</f>
        <v>0</v>
      </c>
      <c r="K26" s="55">
        <f t="shared" ca="1" si="3"/>
        <v>186.45289317129937</v>
      </c>
      <c r="L26" s="57">
        <f t="shared" si="4"/>
        <v>32.540000915527301</v>
      </c>
      <c r="M26" s="58">
        <f t="shared" si="5"/>
        <v>0</v>
      </c>
      <c r="N26" s="57">
        <f t="shared" si="6"/>
        <v>-2.5400009155273011</v>
      </c>
      <c r="O26" s="59">
        <f t="shared" si="7"/>
        <v>-7.8057800985348896E-2</v>
      </c>
      <c r="P26" s="59">
        <f t="shared" ca="1" si="8"/>
        <v>-0.15280587431527168</v>
      </c>
      <c r="Q26" s="4" t="str">
        <f>TEXT(0.28, "#,##0.00")</f>
        <v>0.28</v>
      </c>
      <c r="R26" s="4" t="str">
        <f>TEXT(0.9, "#,##0.0")</f>
        <v>0.9</v>
      </c>
      <c r="S26" s="4" t="str">
        <f>TEXT(-12.66, "#,##0.00")</f>
        <v>-12.66</v>
      </c>
      <c r="T26" s="4">
        <v>1091</v>
      </c>
      <c r="U26" s="4" t="str">
        <f>TEXT(-28.8, "#,##0.0")</f>
        <v>-28.8</v>
      </c>
      <c r="V26" s="4">
        <v>99</v>
      </c>
      <c r="W26" s="4">
        <v>97</v>
      </c>
      <c r="X26" s="4">
        <v>89</v>
      </c>
      <c r="Y26" s="4" t="s">
        <v>26</v>
      </c>
      <c r="Z26" s="4" t="s">
        <v>35</v>
      </c>
      <c r="AA26" s="4" t="s">
        <v>36</v>
      </c>
      <c r="AB26" s="4">
        <v>121</v>
      </c>
      <c r="AC26" s="4">
        <v>88</v>
      </c>
      <c r="AD26" s="4">
        <v>78</v>
      </c>
      <c r="AE26" s="4">
        <v>50</v>
      </c>
      <c r="AF26" s="4">
        <v>184</v>
      </c>
      <c r="AG26" s="4" t="str">
        <f>TEXT(13.9, "#,##0.0")</f>
        <v>13.9</v>
      </c>
      <c r="AH26" s="4" t="str">
        <f>TEXT(22.5, "#,##0.0")</f>
        <v>22.5</v>
      </c>
      <c r="AI26" s="4">
        <v>16</v>
      </c>
      <c r="AJ26" s="4">
        <v>2</v>
      </c>
      <c r="AK26" s="4">
        <v>26</v>
      </c>
    </row>
    <row r="27" spans="1:37">
      <c r="A27" s="60" t="s">
        <v>81</v>
      </c>
      <c r="B27" s="60" t="s">
        <v>82</v>
      </c>
      <c r="C27" s="57">
        <f>_xll.MSNStockQuote.Functions.MSNStockQuote($A27,"ask Price","US")</f>
        <v>40.529998779296903</v>
      </c>
      <c r="D27" s="52">
        <v>40</v>
      </c>
      <c r="E27" s="53" t="str">
        <f t="shared" si="0"/>
        <v>40.0</v>
      </c>
      <c r="F27" s="54">
        <v>1</v>
      </c>
      <c r="G27" s="54">
        <v>11</v>
      </c>
      <c r="H27" s="55" t="str">
        <f t="shared" si="1"/>
        <v>\11A22\</v>
      </c>
      <c r="I27" s="56" t="str">
        <f t="shared" si="2"/>
        <v>.WRLD\11A22\40.0</v>
      </c>
      <c r="J27" s="57">
        <f>_xll.MSNStockQuote.Functions.MSNStockQuote($I27,"Bid Price","US")</f>
        <v>0</v>
      </c>
      <c r="K27" s="55">
        <f t="shared" ca="1" si="3"/>
        <v>186.45289317129937</v>
      </c>
      <c r="L27" s="57">
        <f t="shared" si="4"/>
        <v>40.529998779296903</v>
      </c>
      <c r="M27" s="58">
        <f t="shared" si="5"/>
        <v>0</v>
      </c>
      <c r="N27" s="57">
        <f t="shared" si="6"/>
        <v>-0.52999877929690342</v>
      </c>
      <c r="O27" s="59">
        <f t="shared" si="7"/>
        <v>-1.3076703559330766E-2</v>
      </c>
      <c r="P27" s="59">
        <f t="shared" ca="1" si="8"/>
        <v>-2.5598942006068239E-2</v>
      </c>
      <c r="Q27" s="2" t="str">
        <f>TEXT(1.14, "#,##0.00")</f>
        <v>1.14</v>
      </c>
      <c r="R27" s="2" t="str">
        <f>TEXT(2.9, "#,##0.0")</f>
        <v>2.9</v>
      </c>
      <c r="S27" s="2" t="str">
        <f>TEXT(-9.41, "#,##0.00")</f>
        <v>-9.41</v>
      </c>
      <c r="T27" s="2">
        <v>196</v>
      </c>
      <c r="U27" s="2" t="str">
        <f>TEXT(-31.3, "#,##0.0")</f>
        <v>-31.3</v>
      </c>
      <c r="V27" s="2">
        <v>96</v>
      </c>
      <c r="W27" s="2">
        <v>94</v>
      </c>
      <c r="X27" s="2">
        <v>92</v>
      </c>
      <c r="Y27" s="2" t="s">
        <v>26</v>
      </c>
      <c r="Z27" s="2" t="s">
        <v>32</v>
      </c>
      <c r="AA27" s="2" t="s">
        <v>35</v>
      </c>
      <c r="AB27" s="2">
        <v>16</v>
      </c>
      <c r="AC27" s="2">
        <v>98</v>
      </c>
      <c r="AD27" s="2">
        <v>20</v>
      </c>
      <c r="AE27" s="2">
        <v>13</v>
      </c>
      <c r="AF27" s="2">
        <v>10</v>
      </c>
      <c r="AG27" s="2" t="str">
        <f>TEXT(21.3, "#,##0.0")</f>
        <v>21.3</v>
      </c>
      <c r="AH27" s="2" t="str">
        <f>TEXT(26.6, "#,##0.0")</f>
        <v>26.6</v>
      </c>
      <c r="AI27" s="2">
        <v>3</v>
      </c>
      <c r="AJ27" s="2">
        <v>5</v>
      </c>
      <c r="AK27" s="2">
        <v>29</v>
      </c>
    </row>
    <row r="28" spans="1:37">
      <c r="A28" s="60" t="s">
        <v>70</v>
      </c>
      <c r="B28" s="60" t="s">
        <v>71</v>
      </c>
      <c r="C28" s="57">
        <f>_xll.MSNStockQuote.Functions.MSNStockQuote($A28,"ask Price","US")</f>
        <v>46.25</v>
      </c>
      <c r="D28" s="52">
        <v>45</v>
      </c>
      <c r="E28" s="53" t="str">
        <f t="shared" si="0"/>
        <v>45.0</v>
      </c>
      <c r="F28" s="54">
        <v>1</v>
      </c>
      <c r="G28" s="54">
        <v>11</v>
      </c>
      <c r="H28" s="55" t="str">
        <f t="shared" si="1"/>
        <v>\11A22\</v>
      </c>
      <c r="I28" s="56" t="str">
        <f t="shared" si="2"/>
        <v>.THOR\11A22\45.0</v>
      </c>
      <c r="J28" s="57">
        <f>_xll.MSNStockQuote.Functions.MSNStockQuote($I28,"Bid Price","US")</f>
        <v>0</v>
      </c>
      <c r="K28" s="55">
        <f t="shared" ca="1" si="3"/>
        <v>186.45289317129937</v>
      </c>
      <c r="L28" s="57">
        <f t="shared" si="4"/>
        <v>46.25</v>
      </c>
      <c r="M28" s="58">
        <f t="shared" si="5"/>
        <v>0</v>
      </c>
      <c r="N28" s="57">
        <f t="shared" si="6"/>
        <v>-1.25</v>
      </c>
      <c r="O28" s="59">
        <f t="shared" si="7"/>
        <v>-2.7027027027027029E-2</v>
      </c>
      <c r="P28" s="59">
        <f t="shared" ca="1" si="8"/>
        <v>-5.2908081484162033E-2</v>
      </c>
      <c r="Q28" s="4" t="str">
        <f>TEXT(0.02, "#,##0.00")</f>
        <v>0.02</v>
      </c>
      <c r="R28" s="4" t="str">
        <f>TEXT(0, "#,##0.0")</f>
        <v>0.0</v>
      </c>
      <c r="S28" s="4" t="str">
        <f>TEXT(-6.53, "#,##0.00")</f>
        <v>-6.53</v>
      </c>
      <c r="T28" s="4">
        <v>1184</v>
      </c>
      <c r="U28" s="4" t="str">
        <f>TEXT(3.7, "#,##0.0")</f>
        <v>3.7</v>
      </c>
      <c r="V28" s="4">
        <v>99</v>
      </c>
      <c r="W28" s="4">
        <v>93</v>
      </c>
      <c r="X28" s="4">
        <v>95</v>
      </c>
      <c r="Y28" s="4" t="s">
        <v>26</v>
      </c>
      <c r="Z28" s="4" t="s">
        <v>61</v>
      </c>
      <c r="AA28" s="4" t="s">
        <v>26</v>
      </c>
      <c r="AB28" s="4">
        <v>32</v>
      </c>
      <c r="AC28" s="4">
        <v>69</v>
      </c>
      <c r="AD28" s="4">
        <v>78</v>
      </c>
      <c r="AE28" s="4">
        <v>26</v>
      </c>
      <c r="AF28" s="4">
        <v>36</v>
      </c>
      <c r="AG28" s="4" t="str">
        <f>TEXT(11.3, "#,##0.0")</f>
        <v>11.3</v>
      </c>
      <c r="AH28" s="4" t="str">
        <f>TEXT(22.8, "#,##0.0")</f>
        <v>22.8</v>
      </c>
      <c r="AI28" s="4">
        <v>2</v>
      </c>
      <c r="AJ28" s="4">
        <v>0</v>
      </c>
      <c r="AK28" s="4">
        <v>24</v>
      </c>
    </row>
    <row r="29" spans="1:37">
      <c r="A29" s="60" t="s">
        <v>118</v>
      </c>
      <c r="B29" s="60" t="s">
        <v>119</v>
      </c>
      <c r="C29" s="57">
        <f>_xll.MSNStockQuote.Functions.MSNStockQuote($A29,"ask Price","US")</f>
        <v>42.990001678466797</v>
      </c>
      <c r="D29" s="52">
        <v>45</v>
      </c>
      <c r="E29" s="53" t="str">
        <f t="shared" si="0"/>
        <v>45.0</v>
      </c>
      <c r="F29" s="54">
        <v>1</v>
      </c>
      <c r="G29" s="54">
        <v>11</v>
      </c>
      <c r="H29" s="55" t="str">
        <f t="shared" si="1"/>
        <v>\11A22\</v>
      </c>
      <c r="I29" s="56" t="str">
        <f t="shared" si="2"/>
        <v>.AKAM\11A22\45.0</v>
      </c>
      <c r="J29" s="57">
        <f>_xll.MSNStockQuote.Functions.MSNStockQuote($I29,"Bid Price","US")</f>
        <v>0</v>
      </c>
      <c r="K29" s="55">
        <f t="shared" ca="1" si="3"/>
        <v>186.45289317129937</v>
      </c>
      <c r="L29" s="57">
        <f t="shared" si="4"/>
        <v>42.990001678466797</v>
      </c>
      <c r="M29" s="58">
        <f t="shared" si="5"/>
        <v>0</v>
      </c>
      <c r="N29" s="57">
        <f t="shared" si="6"/>
        <v>0</v>
      </c>
      <c r="O29" s="59">
        <f t="shared" si="7"/>
        <v>0</v>
      </c>
      <c r="P29" s="59">
        <f t="shared" ca="1" si="8"/>
        <v>0</v>
      </c>
      <c r="Q29" s="4" t="str">
        <f>TEXT(0.6, "#,##0.00")</f>
        <v>0.60</v>
      </c>
      <c r="R29" s="4" t="str">
        <f>TEXT(1.4, "#,##0.0")</f>
        <v>1.4</v>
      </c>
      <c r="S29" s="4" t="str">
        <f>TEXT(-8.01, "#,##0.00")</f>
        <v>-8.01</v>
      </c>
      <c r="T29" s="4">
        <v>3773</v>
      </c>
      <c r="U29" s="4" t="str">
        <f>TEXT(-20.5, "#,##0.0")</f>
        <v>-20.5</v>
      </c>
      <c r="V29" s="4">
        <v>99</v>
      </c>
      <c r="W29" s="4">
        <v>85</v>
      </c>
      <c r="X29" s="4">
        <v>97</v>
      </c>
      <c r="Y29" s="4" t="s">
        <v>26</v>
      </c>
      <c r="Z29" s="4" t="s">
        <v>85</v>
      </c>
      <c r="AA29" s="4" t="s">
        <v>36</v>
      </c>
      <c r="AB29" s="4">
        <v>13</v>
      </c>
      <c r="AC29" s="4">
        <v>5</v>
      </c>
      <c r="AD29" s="4">
        <v>-15</v>
      </c>
      <c r="AE29" s="4">
        <v>-9</v>
      </c>
      <c r="AF29" s="4">
        <v>14</v>
      </c>
      <c r="AG29" s="4" t="str">
        <f>TEXT(17.5, "#,##0.0")</f>
        <v>17.5</v>
      </c>
      <c r="AH29" s="4" t="str">
        <f>TEXT(37.1, "#,##0.0")</f>
        <v>37.1</v>
      </c>
      <c r="AI29" s="4">
        <v>5</v>
      </c>
      <c r="AJ29" s="4">
        <v>2</v>
      </c>
      <c r="AK29" s="4">
        <v>48</v>
      </c>
    </row>
    <row r="30" spans="1:37">
      <c r="A30" s="60" t="s">
        <v>160</v>
      </c>
      <c r="B30" s="60" t="s">
        <v>161</v>
      </c>
      <c r="C30" s="57">
        <f>_xll.MSNStockQuote.Functions.MSNStockQuote($A30,"ask Price","US")</f>
        <v>72.010002136230497</v>
      </c>
      <c r="D30" s="52">
        <v>75</v>
      </c>
      <c r="E30" s="53" t="str">
        <f t="shared" si="0"/>
        <v>75.0</v>
      </c>
      <c r="F30" s="54">
        <v>12</v>
      </c>
      <c r="G30" s="54">
        <v>10</v>
      </c>
      <c r="H30" s="55" t="str">
        <f t="shared" si="1"/>
        <v>\10L18\</v>
      </c>
      <c r="I30" s="56" t="str">
        <f t="shared" si="2"/>
        <v>.XEC\10L18\75.0</v>
      </c>
      <c r="J30" s="57">
        <f>_xll.MSNStockQuote.Functions.MSNStockQuote($I30,"Bid Price","US")</f>
        <v>0</v>
      </c>
      <c r="K30" s="55">
        <f t="shared" ca="1" si="3"/>
        <v>151.45289317129937</v>
      </c>
      <c r="L30" s="57">
        <f t="shared" si="4"/>
        <v>72.010002136230497</v>
      </c>
      <c r="M30" s="58">
        <f t="shared" si="5"/>
        <v>0</v>
      </c>
      <c r="N30" s="57">
        <f t="shared" si="6"/>
        <v>0</v>
      </c>
      <c r="O30" s="59">
        <f t="shared" si="7"/>
        <v>0</v>
      </c>
      <c r="P30" s="59">
        <f t="shared" ca="1" si="8"/>
        <v>0</v>
      </c>
      <c r="Q30" s="2" t="str">
        <f>TEXT(1.07, "#,##0.00")</f>
        <v>1.07</v>
      </c>
      <c r="R30" s="2" t="str">
        <f>TEXT(1.5, "#,##0.0")</f>
        <v>1.5</v>
      </c>
      <c r="S30" s="2" t="str">
        <f>TEXT(-9.9, "#,##0.00")</f>
        <v>-9.90</v>
      </c>
      <c r="T30" s="2">
        <v>1260</v>
      </c>
      <c r="U30" s="2" t="str">
        <f>TEXT(-33.3, "#,##0.0")</f>
        <v>-33.3</v>
      </c>
      <c r="V30" s="2">
        <v>95</v>
      </c>
      <c r="W30" s="2">
        <v>81</v>
      </c>
      <c r="X30" s="2">
        <v>97</v>
      </c>
      <c r="Y30" s="2" t="s">
        <v>35</v>
      </c>
      <c r="Z30" s="2" t="s">
        <v>85</v>
      </c>
      <c r="AA30" s="2" t="s">
        <v>32</v>
      </c>
      <c r="AB30" s="2">
        <v>1900</v>
      </c>
      <c r="AC30" s="2">
        <v>1438</v>
      </c>
      <c r="AD30" s="2">
        <v>186</v>
      </c>
      <c r="AE30" s="2">
        <v>181</v>
      </c>
      <c r="AF30" s="2">
        <v>114</v>
      </c>
      <c r="AG30" s="2" t="str">
        <f>TEXT(9.7, "#,##0.0")</f>
        <v>9.7</v>
      </c>
      <c r="AH30" s="2" t="str">
        <f>TEXT(33.6, "#,##0.0")</f>
        <v>33.6</v>
      </c>
      <c r="AI30" s="2">
        <v>3</v>
      </c>
      <c r="AJ30" s="2">
        <v>2</v>
      </c>
      <c r="AK30" s="2">
        <v>79</v>
      </c>
    </row>
    <row r="31" spans="1:37">
      <c r="A31" s="60" t="s">
        <v>120</v>
      </c>
      <c r="B31" s="60" t="s">
        <v>121</v>
      </c>
      <c r="C31" s="57">
        <f>_xll.MSNStockQuote.Functions.MSNStockQuote($A31,"ask Price","US")</f>
        <v>39.509998321533203</v>
      </c>
      <c r="D31" s="52">
        <v>40</v>
      </c>
      <c r="E31" s="53" t="str">
        <f t="shared" si="0"/>
        <v>40.0</v>
      </c>
      <c r="F31" s="54">
        <v>1</v>
      </c>
      <c r="G31" s="54">
        <v>11</v>
      </c>
      <c r="H31" s="55" t="str">
        <f t="shared" si="1"/>
        <v>\11A22\</v>
      </c>
      <c r="I31" s="56" t="str">
        <f t="shared" si="2"/>
        <v>.JAS\11A22\40.0</v>
      </c>
      <c r="J31" s="57">
        <f>_xll.MSNStockQuote.Functions.MSNStockQuote($I31,"Bid Price","US")</f>
        <v>0</v>
      </c>
      <c r="K31" s="55">
        <f t="shared" ca="1" si="3"/>
        <v>186.45289317129937</v>
      </c>
      <c r="L31" s="57">
        <f t="shared" si="4"/>
        <v>39.509998321533203</v>
      </c>
      <c r="M31" s="58">
        <f t="shared" si="5"/>
        <v>0</v>
      </c>
      <c r="N31" s="57">
        <f t="shared" si="6"/>
        <v>0</v>
      </c>
      <c r="O31" s="59">
        <f t="shared" si="7"/>
        <v>0</v>
      </c>
      <c r="P31" s="59">
        <f t="shared" ca="1" si="8"/>
        <v>0</v>
      </c>
      <c r="Q31" s="4" t="str">
        <f>TEXT(1.45, "#,##0.00")</f>
        <v>1.45</v>
      </c>
      <c r="R31" s="4" t="str">
        <f>TEXT(3.8, "#,##0.0")</f>
        <v>3.8</v>
      </c>
      <c r="S31" s="4" t="str">
        <f>TEXT(-20.52, "#,##0.00")</f>
        <v>-20.52</v>
      </c>
      <c r="T31" s="4">
        <v>273</v>
      </c>
      <c r="U31" s="4" t="str">
        <f>TEXT(-36.2, "#,##0.0")</f>
        <v>-36.2</v>
      </c>
      <c r="V31" s="4">
        <v>88</v>
      </c>
      <c r="W31" s="4">
        <v>99</v>
      </c>
      <c r="X31" s="4">
        <v>86</v>
      </c>
      <c r="Y31" s="4" t="s">
        <v>35</v>
      </c>
      <c r="Z31" s="4" t="s">
        <v>56</v>
      </c>
      <c r="AA31" s="4" t="s">
        <v>35</v>
      </c>
      <c r="AB31" s="4">
        <v>120</v>
      </c>
      <c r="AC31" s="4">
        <v>84</v>
      </c>
      <c r="AD31" s="4">
        <v>92</v>
      </c>
      <c r="AE31" s="4">
        <v>29</v>
      </c>
      <c r="AF31" s="4">
        <v>4</v>
      </c>
      <c r="AG31" s="4" t="str">
        <f>TEXT(12.6, "#,##0.0")</f>
        <v>12.6</v>
      </c>
      <c r="AH31" s="4" t="str">
        <f>TEXT(5.4, "#,##0.0")</f>
        <v>5.4</v>
      </c>
      <c r="AI31" s="4">
        <v>6</v>
      </c>
      <c r="AJ31" s="4">
        <v>0</v>
      </c>
      <c r="AK31" s="4">
        <v>50</v>
      </c>
    </row>
    <row r="32" spans="1:37">
      <c r="A32" s="60" t="s">
        <v>182</v>
      </c>
      <c r="B32" s="60" t="s">
        <v>183</v>
      </c>
      <c r="C32" s="57">
        <f>_xll.MSNStockQuote.Functions.MSNStockQuote($A32,"ask Price","US")</f>
        <v>58.849998474121101</v>
      </c>
      <c r="D32" s="52">
        <v>60</v>
      </c>
      <c r="E32" s="53" t="str">
        <f t="shared" si="0"/>
        <v>60.0</v>
      </c>
      <c r="F32" s="54">
        <v>12</v>
      </c>
      <c r="G32" s="54">
        <v>10</v>
      </c>
      <c r="H32" s="55" t="str">
        <f t="shared" si="1"/>
        <v>\10L18\</v>
      </c>
      <c r="I32" s="56" t="str">
        <f t="shared" si="2"/>
        <v>.PII\10L18\60.0</v>
      </c>
      <c r="J32" s="57">
        <f>_xll.MSNStockQuote.Functions.MSNStockQuote($I32,"Bid Price","US")</f>
        <v>0</v>
      </c>
      <c r="K32" s="55">
        <f t="shared" ca="1" si="3"/>
        <v>151.45289317129937</v>
      </c>
      <c r="L32" s="57">
        <f t="shared" si="4"/>
        <v>58.849998474121101</v>
      </c>
      <c r="M32" s="58">
        <f t="shared" si="5"/>
        <v>0</v>
      </c>
      <c r="N32" s="57">
        <f t="shared" si="6"/>
        <v>0</v>
      </c>
      <c r="O32" s="59">
        <f t="shared" si="7"/>
        <v>0</v>
      </c>
      <c r="P32" s="59">
        <f t="shared" ca="1" si="8"/>
        <v>0</v>
      </c>
      <c r="Q32" s="4" t="str">
        <f>TEXT(3.16, "#,##0.00")</f>
        <v>3.16</v>
      </c>
      <c r="R32" s="4" t="str">
        <f>TEXT(5.5, "#,##0.0")</f>
        <v>5.5</v>
      </c>
      <c r="S32" s="4" t="str">
        <f>TEXT(-11, "#,##0.00")</f>
        <v>-11.00</v>
      </c>
      <c r="T32" s="4">
        <v>933</v>
      </c>
      <c r="U32" s="4" t="str">
        <f>TEXT(86.1, "#,##0.0")</f>
        <v>86.1</v>
      </c>
      <c r="V32" s="4">
        <v>95</v>
      </c>
      <c r="W32" s="4">
        <v>87</v>
      </c>
      <c r="X32" s="4">
        <v>90</v>
      </c>
      <c r="Y32" s="4" t="s">
        <v>35</v>
      </c>
      <c r="Z32" s="4" t="s">
        <v>27</v>
      </c>
      <c r="AA32" s="4" t="s">
        <v>32</v>
      </c>
      <c r="AB32" s="4">
        <v>34</v>
      </c>
      <c r="AC32" s="4">
        <v>18</v>
      </c>
      <c r="AD32" s="4">
        <v>26</v>
      </c>
      <c r="AE32" s="4">
        <v>12</v>
      </c>
      <c r="AF32" s="4">
        <v>16</v>
      </c>
      <c r="AG32" s="4" t="str">
        <f>TEXT(62.6, "#,##0.0")</f>
        <v>62.6</v>
      </c>
      <c r="AH32" s="4" t="str">
        <f>TEXT(10.2, "#,##0.0")</f>
        <v>10.2</v>
      </c>
      <c r="AI32" s="4">
        <v>3</v>
      </c>
      <c r="AJ32" s="4">
        <v>0</v>
      </c>
      <c r="AK32" s="4">
        <v>92</v>
      </c>
    </row>
    <row r="33" spans="1:37">
      <c r="A33" s="60" t="s">
        <v>188</v>
      </c>
      <c r="B33" s="60" t="s">
        <v>189</v>
      </c>
      <c r="C33" s="57">
        <f>_xll.MSNStockQuote.Functions.MSNStockQuote($A33,"ask Price","US")</f>
        <v>2000</v>
      </c>
      <c r="D33" s="52">
        <v>45</v>
      </c>
      <c r="E33" s="53" t="str">
        <f t="shared" si="0"/>
        <v>45.0</v>
      </c>
      <c r="F33" s="54">
        <v>1</v>
      </c>
      <c r="G33" s="54">
        <v>11</v>
      </c>
      <c r="H33" s="55" t="str">
        <f t="shared" si="1"/>
        <v>\11A22\</v>
      </c>
      <c r="I33" s="56" t="str">
        <f t="shared" si="2"/>
        <v>.OPEN\11A22\45.0</v>
      </c>
      <c r="J33" s="57">
        <f>_xll.MSNStockQuote.Functions.MSNStockQuote($I33,"Bid Price","US")</f>
        <v>0</v>
      </c>
      <c r="K33" s="55">
        <f t="shared" ca="1" si="3"/>
        <v>186.45289317129937</v>
      </c>
      <c r="L33" s="57">
        <f t="shared" si="4"/>
        <v>2000</v>
      </c>
      <c r="M33" s="58">
        <f t="shared" si="5"/>
        <v>0</v>
      </c>
      <c r="N33" s="57">
        <f t="shared" si="6"/>
        <v>-1955</v>
      </c>
      <c r="O33" s="59">
        <f t="shared" si="7"/>
        <v>-0.97750000000000004</v>
      </c>
      <c r="P33" s="59">
        <f t="shared" ca="1" si="8"/>
        <v>-1.9135530370784302</v>
      </c>
      <c r="Q33" s="2" t="str">
        <f>TEXT(0.18, "#,##0.00")</f>
        <v>0.18</v>
      </c>
      <c r="R33" s="2" t="str">
        <f>TEXT(0.4, "#,##0.0")</f>
        <v>0.4</v>
      </c>
      <c r="S33" s="2" t="str">
        <f>TEXT(-0.13, "#,##0.00")</f>
        <v>-0.13</v>
      </c>
      <c r="T33" s="2">
        <v>171</v>
      </c>
      <c r="U33" s="2" t="str">
        <f>TEXT(-35.9, "#,##0.0")</f>
        <v>-35.9</v>
      </c>
      <c r="V33" s="2">
        <v>99</v>
      </c>
      <c r="W33" s="2">
        <v>80</v>
      </c>
      <c r="X33" s="2">
        <v>94</v>
      </c>
      <c r="Y33" s="2" t="s">
        <v>26</v>
      </c>
      <c r="Z33" s="2" t="s">
        <v>26</v>
      </c>
      <c r="AA33" s="2" t="s">
        <v>26</v>
      </c>
      <c r="AB33" s="2">
        <v>180</v>
      </c>
      <c r="AC33" s="2" t="s">
        <v>39</v>
      </c>
      <c r="AD33" s="2">
        <v>83</v>
      </c>
      <c r="AE33" s="2">
        <v>58</v>
      </c>
      <c r="AF33" s="2">
        <v>33</v>
      </c>
      <c r="AG33" s="2" t="str">
        <f>TEXT(14.5, "#,##0.0")</f>
        <v>14.5</v>
      </c>
      <c r="AH33" s="2" t="str">
        <f>TEXT(17.3, "#,##0.0")</f>
        <v>17.3</v>
      </c>
      <c r="AI33" s="2">
        <v>32</v>
      </c>
      <c r="AJ33" s="2">
        <v>3</v>
      </c>
      <c r="AK33" s="2">
        <v>97</v>
      </c>
    </row>
    <row r="34" spans="1:37">
      <c r="A34" s="60" t="s">
        <v>46</v>
      </c>
      <c r="B34" s="60" t="s">
        <v>47</v>
      </c>
      <c r="C34" s="57">
        <f>_xll.MSNStockQuote.Functions.MSNStockQuote($A34,"ask Price","US")</f>
        <v>45.290000915527301</v>
      </c>
      <c r="D34" s="52">
        <v>50</v>
      </c>
      <c r="E34" s="53" t="str">
        <f t="shared" ref="E34:E65" si="9">TEXT(D34,".0")</f>
        <v>50.0</v>
      </c>
      <c r="F34" s="54">
        <v>12</v>
      </c>
      <c r="G34" s="54">
        <v>10</v>
      </c>
      <c r="H34" s="55" t="str">
        <f t="shared" ref="H34:H65" si="10">VLOOKUP(F34,Options,VLOOKUP(G34,Offset,2))</f>
        <v>\10L18\</v>
      </c>
      <c r="I34" s="56" t="str">
        <f t="shared" ref="I34:I65" si="11">CONCATENATE(".",A34,H34,E34)</f>
        <v>.DECK\10L18\50.0</v>
      </c>
      <c r="J34" s="57">
        <f>_xll.MSNStockQuote.Functions.MSNStockQuote($I34,"Bid Price","US")</f>
        <v>0</v>
      </c>
      <c r="K34" s="55">
        <f t="shared" ref="K34:K65" ca="1" si="12">VLOOKUP(F34,Duration,VLOOKUP(G34,Offset,2))-NOW()</f>
        <v>151.45289317129937</v>
      </c>
      <c r="L34" s="57">
        <f t="shared" ref="L34:L65" si="13">C34-J34</f>
        <v>45.290000915527301</v>
      </c>
      <c r="M34" s="58">
        <f t="shared" ref="M34:M65" si="14">J34/C34</f>
        <v>0</v>
      </c>
      <c r="N34" s="57">
        <f t="shared" ref="N34:N65" si="15">IF(C34&gt;D34,(D34-C34)+J34,J34)</f>
        <v>0</v>
      </c>
      <c r="O34" s="59">
        <f t="shared" ref="O34:O65" si="16">N34/L34</f>
        <v>0</v>
      </c>
      <c r="P34" s="59">
        <f t="shared" ref="P34:P65" ca="1" si="17">O34*(365/K34)</f>
        <v>0</v>
      </c>
      <c r="Q34" s="2" t="str">
        <f>TEXT(1.46, "#,##0.00")</f>
        <v>1.46</v>
      </c>
      <c r="R34" s="2" t="str">
        <f>TEXT(3.2, "#,##0.0")</f>
        <v>3.2</v>
      </c>
      <c r="S34" s="2" t="str">
        <f>TEXT(-17.91, "#,##0.00")</f>
        <v>-17.91</v>
      </c>
      <c r="T34" s="2">
        <v>1228</v>
      </c>
      <c r="U34" s="2" t="str">
        <f>TEXT(-20.2, "#,##0.0")</f>
        <v>-20.2</v>
      </c>
      <c r="V34" s="2">
        <v>99</v>
      </c>
      <c r="W34" s="2">
        <v>98</v>
      </c>
      <c r="X34" s="2">
        <v>94</v>
      </c>
      <c r="Y34" s="2" t="s">
        <v>26</v>
      </c>
      <c r="Z34" s="2" t="s">
        <v>27</v>
      </c>
      <c r="AA34" s="2" t="s">
        <v>36</v>
      </c>
      <c r="AB34" s="2">
        <v>48</v>
      </c>
      <c r="AC34" s="2">
        <v>29</v>
      </c>
      <c r="AD34" s="2">
        <v>11</v>
      </c>
      <c r="AE34" s="2">
        <v>12</v>
      </c>
      <c r="AF34" s="2">
        <v>16</v>
      </c>
      <c r="AG34" s="2" t="str">
        <f>TEXT(26.8, "#,##0.0")</f>
        <v>26.8</v>
      </c>
      <c r="AH34" s="2" t="str">
        <f>TEXT(22.7, "#,##0.0")</f>
        <v>22.7</v>
      </c>
      <c r="AI34" s="2">
        <v>3</v>
      </c>
      <c r="AJ34" s="2">
        <v>3</v>
      </c>
      <c r="AK34" s="2">
        <v>9</v>
      </c>
    </row>
    <row r="35" spans="1:37">
      <c r="A35" s="60" t="s">
        <v>54</v>
      </c>
      <c r="B35" s="60" t="s">
        <v>55</v>
      </c>
      <c r="C35" s="57">
        <f>_xll.MSNStockQuote.Functions.MSNStockQuote($A35,"ask Price","US")</f>
        <v>18.7399997711182</v>
      </c>
      <c r="D35" s="52">
        <v>20</v>
      </c>
      <c r="E35" s="53" t="str">
        <f t="shared" si="9"/>
        <v>20.0</v>
      </c>
      <c r="F35" s="54">
        <v>1</v>
      </c>
      <c r="G35" s="54">
        <v>11</v>
      </c>
      <c r="H35" s="55" t="str">
        <f t="shared" si="10"/>
        <v>\11A22\</v>
      </c>
      <c r="I35" s="56" t="str">
        <f t="shared" si="11"/>
        <v>.SLW\11A22\20.0</v>
      </c>
      <c r="J35" s="57">
        <f>_xll.MSNStockQuote.Functions.MSNStockQuote($I35,"Bid Price","US")</f>
        <v>0</v>
      </c>
      <c r="K35" s="55">
        <f t="shared" ca="1" si="12"/>
        <v>186.45289317129937</v>
      </c>
      <c r="L35" s="57">
        <f t="shared" si="13"/>
        <v>18.7399997711182</v>
      </c>
      <c r="M35" s="58">
        <f t="shared" si="14"/>
        <v>0</v>
      </c>
      <c r="N35" s="57">
        <f t="shared" si="15"/>
        <v>0</v>
      </c>
      <c r="O35" s="59">
        <f t="shared" si="16"/>
        <v>0</v>
      </c>
      <c r="P35" s="59">
        <f t="shared" ca="1" si="17"/>
        <v>0</v>
      </c>
      <c r="Q35" s="2" t="str">
        <f>TEXT(0.2, "#,##0.00")</f>
        <v>0.20</v>
      </c>
      <c r="R35" s="2" t="str">
        <f>TEXT(1.1, "#,##0.0")</f>
        <v>1.1</v>
      </c>
      <c r="S35" s="2" t="str">
        <f>TEXT(-13.2, "#,##0.00")</f>
        <v>-13.20</v>
      </c>
      <c r="T35" s="2">
        <v>7197</v>
      </c>
      <c r="U35" s="2" t="str">
        <f>TEXT(-3.2, "#,##0.0")</f>
        <v>-3.2</v>
      </c>
      <c r="V35" s="2">
        <v>95</v>
      </c>
      <c r="W35" s="2">
        <v>97</v>
      </c>
      <c r="X35" s="2">
        <v>94</v>
      </c>
      <c r="Y35" s="2" t="s">
        <v>26</v>
      </c>
      <c r="Z35" s="2" t="s">
        <v>56</v>
      </c>
      <c r="AA35" s="2" t="s">
        <v>38</v>
      </c>
      <c r="AB35" s="2">
        <v>117</v>
      </c>
      <c r="AC35" s="2">
        <v>300</v>
      </c>
      <c r="AD35" s="2">
        <v>167</v>
      </c>
      <c r="AE35" s="2">
        <v>84</v>
      </c>
      <c r="AF35" s="2">
        <v>129</v>
      </c>
      <c r="AG35" s="2" t="str">
        <f>TEXT(9.7, "#,##0.0")</f>
        <v>9.7</v>
      </c>
      <c r="AH35" s="2" t="str">
        <f>TEXT(50.5, "#,##0.0")</f>
        <v>50.5</v>
      </c>
      <c r="AI35" s="2">
        <v>0</v>
      </c>
      <c r="AJ35" s="2">
        <v>5</v>
      </c>
      <c r="AK35" s="2">
        <v>13</v>
      </c>
    </row>
    <row r="36" spans="1:37">
      <c r="A36" s="60" t="s">
        <v>48</v>
      </c>
      <c r="B36" s="60" t="s">
        <v>49</v>
      </c>
      <c r="C36" s="57">
        <f>_xll.MSNStockQuote.Functions.MSNStockQuote($A36,"ask Price","US")</f>
        <v>75.930000305175795</v>
      </c>
      <c r="D36" s="52">
        <v>75</v>
      </c>
      <c r="E36" s="53" t="str">
        <f t="shared" si="9"/>
        <v>75.0</v>
      </c>
      <c r="F36" s="54">
        <v>1</v>
      </c>
      <c r="G36" s="54">
        <v>11</v>
      </c>
      <c r="H36" s="55" t="str">
        <f t="shared" si="10"/>
        <v>\11A22\</v>
      </c>
      <c r="I36" s="56" t="str">
        <f t="shared" si="11"/>
        <v>.FFIV\11A22\75.0</v>
      </c>
      <c r="J36" s="57">
        <f>_xll.MSNStockQuote.Functions.MSNStockQuote($I36,"Bid Price","US")</f>
        <v>0</v>
      </c>
      <c r="K36" s="55">
        <f t="shared" ca="1" si="12"/>
        <v>186.45289317129937</v>
      </c>
      <c r="L36" s="57">
        <f t="shared" si="13"/>
        <v>75.930000305175795</v>
      </c>
      <c r="M36" s="58">
        <f t="shared" si="14"/>
        <v>0</v>
      </c>
      <c r="N36" s="57">
        <f t="shared" si="15"/>
        <v>-0.93000030517579546</v>
      </c>
      <c r="O36" s="59">
        <f t="shared" si="16"/>
        <v>-1.2248127241379738E-2</v>
      </c>
      <c r="P36" s="59">
        <f t="shared" ca="1" si="17"/>
        <v>-2.3976921822266243E-2</v>
      </c>
      <c r="Q36" s="4" t="str">
        <f>TEXT(0.19, "#,##0.00")</f>
        <v>0.19</v>
      </c>
      <c r="R36" s="4" t="str">
        <f>TEXT(0.2, "#,##0.0")</f>
        <v>0.2</v>
      </c>
      <c r="S36" s="4" t="str">
        <f>TEXT(-0.56, "#,##0.00")</f>
        <v>-0.56</v>
      </c>
      <c r="T36" s="4">
        <v>1734</v>
      </c>
      <c r="U36" s="4" t="str">
        <f>TEXT(2, "#,##0.0")</f>
        <v>2.0</v>
      </c>
      <c r="V36" s="4">
        <v>99</v>
      </c>
      <c r="W36" s="4">
        <v>97</v>
      </c>
      <c r="X36" s="4">
        <v>96</v>
      </c>
      <c r="Y36" s="4" t="s">
        <v>26</v>
      </c>
      <c r="Z36" s="4" t="s">
        <v>38</v>
      </c>
      <c r="AA36" s="4" t="s">
        <v>36</v>
      </c>
      <c r="AB36" s="4">
        <v>47</v>
      </c>
      <c r="AC36" s="4">
        <v>30</v>
      </c>
      <c r="AD36" s="4">
        <v>48</v>
      </c>
      <c r="AE36" s="4">
        <v>36</v>
      </c>
      <c r="AF36" s="4">
        <v>34</v>
      </c>
      <c r="AG36" s="4" t="str">
        <f>TEXT(17.7, "#,##0.0")</f>
        <v>17.7</v>
      </c>
      <c r="AH36" s="4" t="str">
        <f>TEXT(32.3, "#,##0.0")</f>
        <v>32.3</v>
      </c>
      <c r="AI36" s="4">
        <v>1</v>
      </c>
      <c r="AJ36" s="4">
        <v>0</v>
      </c>
      <c r="AK36" s="4">
        <v>10</v>
      </c>
    </row>
    <row r="37" spans="1:37">
      <c r="A37" s="60" t="s">
        <v>79</v>
      </c>
      <c r="B37" s="60" t="s">
        <v>80</v>
      </c>
      <c r="C37" s="57">
        <f>_xll.MSNStockQuote.Functions.MSNStockQuote($A37,"ask Price","US")</f>
        <v>41.279998779296903</v>
      </c>
      <c r="D37" s="52">
        <v>40</v>
      </c>
      <c r="E37" s="53" t="str">
        <f t="shared" si="9"/>
        <v>40.0</v>
      </c>
      <c r="F37" s="54">
        <v>12</v>
      </c>
      <c r="G37" s="54">
        <v>10</v>
      </c>
      <c r="H37" s="55" t="str">
        <f t="shared" si="10"/>
        <v>\10L18\</v>
      </c>
      <c r="I37" s="56" t="str">
        <f t="shared" si="11"/>
        <v>.NTAP\10L18\40.0</v>
      </c>
      <c r="J37" s="57">
        <f>_xll.MSNStockQuote.Functions.MSNStockQuote($I37,"Bid Price","US")</f>
        <v>0</v>
      </c>
      <c r="K37" s="55">
        <f t="shared" ca="1" si="12"/>
        <v>151.45289317129937</v>
      </c>
      <c r="L37" s="57">
        <f t="shared" si="13"/>
        <v>41.279998779296903</v>
      </c>
      <c r="M37" s="58">
        <f t="shared" si="14"/>
        <v>0</v>
      </c>
      <c r="N37" s="57">
        <f t="shared" si="15"/>
        <v>-1.2799987792969034</v>
      </c>
      <c r="O37" s="59">
        <f t="shared" si="16"/>
        <v>-3.1007723283627112E-2</v>
      </c>
      <c r="P37" s="59">
        <f t="shared" ca="1" si="17"/>
        <v>-7.4728311632336952E-2</v>
      </c>
      <c r="Q37" s="4" t="str">
        <f>TEXT(0.6, "#,##0.00")</f>
        <v>0.60</v>
      </c>
      <c r="R37" s="4" t="str">
        <f>TEXT(1.5, "#,##0.0")</f>
        <v>1.5</v>
      </c>
      <c r="S37" s="4" t="str">
        <f>TEXT(-6.95, "#,##0.00")</f>
        <v>-6.95</v>
      </c>
      <c r="T37" s="4">
        <v>4781</v>
      </c>
      <c r="U37" s="4" t="str">
        <f>TEXT(-39.4, "#,##0.0")</f>
        <v>-39.4</v>
      </c>
      <c r="V37" s="4">
        <v>98</v>
      </c>
      <c r="W37" s="4">
        <v>95</v>
      </c>
      <c r="X37" s="4">
        <v>92</v>
      </c>
      <c r="Y37" s="4" t="s">
        <v>26</v>
      </c>
      <c r="Z37" s="4" t="s">
        <v>35</v>
      </c>
      <c r="AA37" s="4" t="s">
        <v>27</v>
      </c>
      <c r="AB37" s="4">
        <v>61</v>
      </c>
      <c r="AC37" s="4">
        <v>43</v>
      </c>
      <c r="AD37" s="4">
        <v>105</v>
      </c>
      <c r="AE37" s="4">
        <v>28</v>
      </c>
      <c r="AF37" s="4">
        <v>33</v>
      </c>
      <c r="AG37" s="4" t="str">
        <f>TEXT(24.7, "#,##0.0")</f>
        <v>24.7</v>
      </c>
      <c r="AH37" s="4" t="str">
        <f>TEXT(16.2, "#,##0.0")</f>
        <v>16.2</v>
      </c>
      <c r="AI37" s="4">
        <v>4</v>
      </c>
      <c r="AJ37" s="4">
        <v>0</v>
      </c>
      <c r="AK37" s="4">
        <v>28</v>
      </c>
    </row>
    <row r="38" spans="1:37">
      <c r="A38" s="60" t="s">
        <v>92</v>
      </c>
      <c r="B38" s="60" t="s">
        <v>93</v>
      </c>
      <c r="C38" s="57">
        <f>_xll.MSNStockQuote.Functions.MSNStockQuote($A38,"ask Price","US")</f>
        <v>20.049999237060501</v>
      </c>
      <c r="D38" s="52">
        <v>20</v>
      </c>
      <c r="E38" s="53" t="str">
        <f t="shared" si="9"/>
        <v>20.0</v>
      </c>
      <c r="F38" s="54">
        <v>12</v>
      </c>
      <c r="G38" s="54">
        <v>10</v>
      </c>
      <c r="H38" s="55" t="str">
        <f t="shared" si="10"/>
        <v>\10L18\</v>
      </c>
      <c r="I38" s="56" t="str">
        <f t="shared" si="11"/>
        <v>.EZPW\10L18\20.0</v>
      </c>
      <c r="J38" s="57">
        <f>_xll.MSNStockQuote.Functions.MSNStockQuote($I38,"Bid Price","US")</f>
        <v>0</v>
      </c>
      <c r="K38" s="55">
        <f t="shared" ca="1" si="12"/>
        <v>151.45289317129937</v>
      </c>
      <c r="L38" s="57">
        <f t="shared" si="13"/>
        <v>20.049999237060501</v>
      </c>
      <c r="M38" s="58">
        <f t="shared" si="14"/>
        <v>0</v>
      </c>
      <c r="N38" s="57">
        <f t="shared" si="15"/>
        <v>-4.999923706050069E-2</v>
      </c>
      <c r="O38" s="59">
        <f t="shared" si="16"/>
        <v>-2.4937276290804985E-3</v>
      </c>
      <c r="P38" s="59">
        <f t="shared" ca="1" si="17"/>
        <v>-6.0098593401243048E-3</v>
      </c>
      <c r="Q38" s="4" t="str">
        <f>TEXT(0.95, "#,##0.00")</f>
        <v>0.95</v>
      </c>
      <c r="R38" s="4" t="str">
        <f>TEXT(4.8, "#,##0.0")</f>
        <v>4.8</v>
      </c>
      <c r="S38" s="4" t="str">
        <f>TEXT(-17.26, "#,##0.00")</f>
        <v>-17.26</v>
      </c>
      <c r="T38" s="4">
        <v>468</v>
      </c>
      <c r="U38" s="4" t="str">
        <f>TEXT(-13.8, "#,##0.0")</f>
        <v>-13.8</v>
      </c>
      <c r="V38" s="4">
        <v>94</v>
      </c>
      <c r="W38" s="4">
        <v>97</v>
      </c>
      <c r="X38" s="4">
        <v>88</v>
      </c>
      <c r="Y38" s="4" t="s">
        <v>26</v>
      </c>
      <c r="Z38" s="4" t="s">
        <v>56</v>
      </c>
      <c r="AA38" s="4" t="s">
        <v>35</v>
      </c>
      <c r="AB38" s="4">
        <v>30</v>
      </c>
      <c r="AC38" s="4">
        <v>49</v>
      </c>
      <c r="AD38" s="4">
        <v>34</v>
      </c>
      <c r="AE38" s="4">
        <v>33</v>
      </c>
      <c r="AF38" s="4">
        <v>13</v>
      </c>
      <c r="AG38" s="4" t="str">
        <f>TEXT(20.1, "#,##0.0")</f>
        <v>20.1</v>
      </c>
      <c r="AH38" s="4" t="str">
        <f>TEXT(17.8, "#,##0.0")</f>
        <v>17.8</v>
      </c>
      <c r="AI38" s="4">
        <v>0</v>
      </c>
      <c r="AJ38" s="4">
        <v>2</v>
      </c>
      <c r="AK38" s="4">
        <v>34</v>
      </c>
    </row>
    <row r="39" spans="1:37">
      <c r="A39" s="60" t="s">
        <v>130</v>
      </c>
      <c r="B39" s="60" t="s">
        <v>131</v>
      </c>
      <c r="C39" s="57">
        <f>_xll.MSNStockQuote.Functions.MSNStockQuote($A39,"ask Price","US")</f>
        <v>2000</v>
      </c>
      <c r="D39" s="52">
        <v>40</v>
      </c>
      <c r="E39" s="53" t="str">
        <f t="shared" si="9"/>
        <v>40.0</v>
      </c>
      <c r="F39" s="54">
        <v>12</v>
      </c>
      <c r="G39" s="54">
        <v>10</v>
      </c>
      <c r="H39" s="55" t="str">
        <f t="shared" si="10"/>
        <v>\10L18\</v>
      </c>
      <c r="I39" s="56" t="str">
        <f t="shared" si="11"/>
        <v>.FOSL\10L18\40.0</v>
      </c>
      <c r="J39" s="57">
        <f>_xll.MSNStockQuote.Functions.MSNStockQuote($I39,"Bid Price","US")</f>
        <v>0</v>
      </c>
      <c r="K39" s="55">
        <f t="shared" ca="1" si="12"/>
        <v>151.45289317129937</v>
      </c>
      <c r="L39" s="57">
        <f t="shared" si="13"/>
        <v>2000</v>
      </c>
      <c r="M39" s="58">
        <f t="shared" si="14"/>
        <v>0</v>
      </c>
      <c r="N39" s="57">
        <f t="shared" si="15"/>
        <v>-1960</v>
      </c>
      <c r="O39" s="59">
        <f t="shared" si="16"/>
        <v>-0.98</v>
      </c>
      <c r="P39" s="59">
        <f t="shared" ca="1" si="17"/>
        <v>-2.3617904716777303</v>
      </c>
      <c r="Q39" s="4" t="str">
        <f>TEXT(1.02, "#,##0.00")</f>
        <v>1.02</v>
      </c>
      <c r="R39" s="4" t="str">
        <f>TEXT(2.7, "#,##0.0")</f>
        <v>2.7</v>
      </c>
      <c r="S39" s="4" t="str">
        <f>TEXT(-13.27, "#,##0.00")</f>
        <v>-13.27</v>
      </c>
      <c r="T39" s="4">
        <v>334</v>
      </c>
      <c r="U39" s="4" t="str">
        <f>TEXT(-66.8, "#,##0.0")</f>
        <v>-66.8</v>
      </c>
      <c r="V39" s="4">
        <v>89</v>
      </c>
      <c r="W39" s="4">
        <v>97</v>
      </c>
      <c r="X39" s="4">
        <v>87</v>
      </c>
      <c r="Y39" s="4" t="s">
        <v>26</v>
      </c>
      <c r="Z39" s="4" t="s">
        <v>31</v>
      </c>
      <c r="AA39" s="4" t="s">
        <v>78</v>
      </c>
      <c r="AB39" s="4">
        <v>104</v>
      </c>
      <c r="AC39" s="4">
        <v>75</v>
      </c>
      <c r="AD39" s="4">
        <v>36</v>
      </c>
      <c r="AE39" s="4">
        <v>27</v>
      </c>
      <c r="AF39" s="4">
        <v>22</v>
      </c>
      <c r="AG39" s="4" t="str">
        <f>TEXT(15.8, "#,##0.0")</f>
        <v>15.8</v>
      </c>
      <c r="AH39" s="4" t="str">
        <f>TEXT(14.2, "#,##0.0")</f>
        <v>14.2</v>
      </c>
      <c r="AI39" s="4">
        <v>22</v>
      </c>
      <c r="AJ39" s="4">
        <v>0</v>
      </c>
      <c r="AK39" s="4">
        <v>60</v>
      </c>
    </row>
    <row r="40" spans="1:37">
      <c r="A40" s="60" t="s">
        <v>166</v>
      </c>
      <c r="B40" s="60" t="s">
        <v>167</v>
      </c>
      <c r="C40" s="57">
        <f>_xll.MSNStockQuote.Functions.MSNStockQuote($A40,"ask Price","US")</f>
        <v>34.5</v>
      </c>
      <c r="D40" s="52">
        <v>35</v>
      </c>
      <c r="E40" s="53" t="str">
        <f t="shared" si="9"/>
        <v>35.0</v>
      </c>
      <c r="F40" s="54">
        <v>12</v>
      </c>
      <c r="G40" s="54">
        <v>10</v>
      </c>
      <c r="H40" s="55" t="str">
        <f t="shared" si="10"/>
        <v>\10L18\</v>
      </c>
      <c r="I40" s="56" t="str">
        <f t="shared" si="11"/>
        <v>.SIRO\10L18\35.0</v>
      </c>
      <c r="J40" s="57">
        <f>_xll.MSNStockQuote.Functions.MSNStockQuote($I40,"Bid Price","US")</f>
        <v>0</v>
      </c>
      <c r="K40" s="55">
        <f t="shared" ca="1" si="12"/>
        <v>151.45289317129937</v>
      </c>
      <c r="L40" s="57">
        <f t="shared" si="13"/>
        <v>34.5</v>
      </c>
      <c r="M40" s="58">
        <f t="shared" si="14"/>
        <v>0</v>
      </c>
      <c r="N40" s="57">
        <f t="shared" si="15"/>
        <v>0</v>
      </c>
      <c r="O40" s="59">
        <f t="shared" si="16"/>
        <v>0</v>
      </c>
      <c r="P40" s="59">
        <f t="shared" ca="1" si="17"/>
        <v>0</v>
      </c>
      <c r="Q40" s="2" t="str">
        <f>TEXT(0.69, "#,##0.00")</f>
        <v>0.69</v>
      </c>
      <c r="R40" s="2" t="str">
        <f>TEXT(2, "#,##0.0")</f>
        <v>2.0</v>
      </c>
      <c r="S40" s="2" t="str">
        <f>TEXT(-21.63, "#,##0.00")</f>
        <v>-21.63</v>
      </c>
      <c r="T40" s="2">
        <v>286</v>
      </c>
      <c r="U40" s="2" t="str">
        <f>TEXT(-58.5, "#,##0.0")</f>
        <v>-58.5</v>
      </c>
      <c r="V40" s="2">
        <v>92</v>
      </c>
      <c r="W40" s="2">
        <v>99</v>
      </c>
      <c r="X40" s="2">
        <v>78</v>
      </c>
      <c r="Y40" s="2" t="s">
        <v>26</v>
      </c>
      <c r="Z40" s="2" t="s">
        <v>61</v>
      </c>
      <c r="AA40" s="2" t="s">
        <v>35</v>
      </c>
      <c r="AB40" s="2">
        <v>78</v>
      </c>
      <c r="AC40" s="2">
        <v>125</v>
      </c>
      <c r="AD40" s="2">
        <v>85</v>
      </c>
      <c r="AE40" s="2">
        <v>72</v>
      </c>
      <c r="AF40" s="2">
        <v>15</v>
      </c>
      <c r="AG40" s="2" t="str">
        <f>TEXT(11.5, "#,##0.0")</f>
        <v>11.5</v>
      </c>
      <c r="AH40" s="2" t="str">
        <f>TEXT(14.2, "#,##0.0")</f>
        <v>14.2</v>
      </c>
      <c r="AI40" s="2">
        <v>40</v>
      </c>
      <c r="AJ40" s="2">
        <v>3</v>
      </c>
      <c r="AK40" s="2">
        <v>83</v>
      </c>
    </row>
    <row r="41" spans="1:37">
      <c r="A41" s="60" t="s">
        <v>162</v>
      </c>
      <c r="B41" s="60" t="s">
        <v>163</v>
      </c>
      <c r="C41" s="57">
        <f>_xll.MSNStockQuote.Functions.MSNStockQuote($A41,"ask Price","US")</f>
        <v>55.950000762939503</v>
      </c>
      <c r="D41" s="52">
        <v>45</v>
      </c>
      <c r="E41" s="53" t="str">
        <f t="shared" si="9"/>
        <v>45.0</v>
      </c>
      <c r="F41" s="54">
        <v>1</v>
      </c>
      <c r="G41" s="54">
        <v>11</v>
      </c>
      <c r="H41" s="55" t="str">
        <f t="shared" si="10"/>
        <v>\11A22\</v>
      </c>
      <c r="I41" s="56" t="str">
        <f t="shared" si="11"/>
        <v>.LCAPA\11A22\45.0</v>
      </c>
      <c r="J41" s="57">
        <f>_xll.MSNStockQuote.Functions.MSNStockQuote($I41,"Bid Price","US")</f>
        <v>0</v>
      </c>
      <c r="K41" s="55">
        <f t="shared" ca="1" si="12"/>
        <v>186.45289317129937</v>
      </c>
      <c r="L41" s="57">
        <f t="shared" si="13"/>
        <v>55.950000762939503</v>
      </c>
      <c r="M41" s="58">
        <f t="shared" si="14"/>
        <v>0</v>
      </c>
      <c r="N41" s="57">
        <f t="shared" si="15"/>
        <v>-10.950000762939503</v>
      </c>
      <c r="O41" s="59">
        <f t="shared" si="16"/>
        <v>-0.19571046673144338</v>
      </c>
      <c r="P41" s="59">
        <f t="shared" ca="1" si="17"/>
        <v>-0.38312261688183175</v>
      </c>
      <c r="Q41" s="4" t="str">
        <f>TEXT(0.23, "#,##0.00")</f>
        <v>0.23</v>
      </c>
      <c r="R41" s="4" t="str">
        <f>TEXT(0.5, "#,##0.0")</f>
        <v>0.5</v>
      </c>
      <c r="S41" s="4" t="str">
        <f>TEXT(-2.45, "#,##0.00")</f>
        <v>-2.45</v>
      </c>
      <c r="T41" s="4">
        <v>846</v>
      </c>
      <c r="U41" s="4" t="str">
        <f>TEXT(4.8, "#,##0.0")</f>
        <v>4.8</v>
      </c>
      <c r="V41" s="4">
        <v>97</v>
      </c>
      <c r="W41" s="4">
        <v>79</v>
      </c>
      <c r="X41" s="4">
        <v>98</v>
      </c>
      <c r="Y41" s="4" t="s">
        <v>37</v>
      </c>
      <c r="Z41" s="4" t="s">
        <v>38</v>
      </c>
      <c r="AA41" s="4" t="s">
        <v>32</v>
      </c>
      <c r="AB41" s="4" t="s">
        <v>39</v>
      </c>
      <c r="AC41" s="4" t="s">
        <v>39</v>
      </c>
      <c r="AD41" s="4">
        <v>-101</v>
      </c>
      <c r="AE41" s="4" t="s">
        <v>39</v>
      </c>
      <c r="AF41" s="4">
        <v>33</v>
      </c>
      <c r="AG41" s="4" t="str">
        <f>TEXT(10.1, "#,##0.0")</f>
        <v>10.1</v>
      </c>
      <c r="AH41" s="4" t="str">
        <f>TEXT(-19.9, "#,##0.0")</f>
        <v>-19.9</v>
      </c>
      <c r="AI41" s="4">
        <v>6</v>
      </c>
      <c r="AJ41" s="4">
        <v>0</v>
      </c>
      <c r="AK41" s="4">
        <v>80</v>
      </c>
    </row>
    <row r="42" spans="1:37">
      <c r="A42" s="60" t="s">
        <v>180</v>
      </c>
      <c r="B42" s="60" t="s">
        <v>181</v>
      </c>
      <c r="C42" s="57">
        <f>_xll.MSNStockQuote.Functions.MSNStockQuote($A42,"ask Price","US")</f>
        <v>30.389999389648398</v>
      </c>
      <c r="D42" s="52">
        <v>30</v>
      </c>
      <c r="E42" s="53" t="str">
        <f t="shared" si="9"/>
        <v>30.0</v>
      </c>
      <c r="F42" s="54">
        <v>12</v>
      </c>
      <c r="G42" s="54">
        <v>10</v>
      </c>
      <c r="H42" s="55" t="str">
        <f t="shared" si="10"/>
        <v>\10L18\</v>
      </c>
      <c r="I42" s="56" t="str">
        <f t="shared" si="11"/>
        <v>.NUS\10L18\30.0</v>
      </c>
      <c r="J42" s="57">
        <f>_xll.MSNStockQuote.Functions.MSNStockQuote($I42,"Bid Price","US")</f>
        <v>0</v>
      </c>
      <c r="K42" s="55">
        <f t="shared" ca="1" si="12"/>
        <v>151.45289317129937</v>
      </c>
      <c r="L42" s="57">
        <f t="shared" si="13"/>
        <v>30.389999389648398</v>
      </c>
      <c r="M42" s="58">
        <f t="shared" si="14"/>
        <v>0</v>
      </c>
      <c r="N42" s="57">
        <f t="shared" si="15"/>
        <v>-0.38999938964839842</v>
      </c>
      <c r="O42" s="59">
        <f t="shared" si="16"/>
        <v>-1.2833148979306727E-2</v>
      </c>
      <c r="P42" s="59">
        <f t="shared" ca="1" si="17"/>
        <v>-3.0927764266272875E-2</v>
      </c>
      <c r="Q42" s="4" t="str">
        <f>TEXT(0.98, "#,##0.00")</f>
        <v>0.98</v>
      </c>
      <c r="R42" s="4" t="str">
        <f>TEXT(3.6, "#,##0.0")</f>
        <v>3.6</v>
      </c>
      <c r="S42" s="4" t="str">
        <f>TEXT(-19.48, "#,##0.00")</f>
        <v>-19.48</v>
      </c>
      <c r="T42" s="4">
        <v>705</v>
      </c>
      <c r="U42" s="4" t="str">
        <f>TEXT(-18.9, "#,##0.0")</f>
        <v>-18.9</v>
      </c>
      <c r="V42" s="4">
        <v>95</v>
      </c>
      <c r="W42" s="4">
        <v>90</v>
      </c>
      <c r="X42" s="4">
        <v>84</v>
      </c>
      <c r="Y42" s="4" t="s">
        <v>26</v>
      </c>
      <c r="Z42" s="4" t="s">
        <v>31</v>
      </c>
      <c r="AA42" s="4" t="s">
        <v>27</v>
      </c>
      <c r="AB42" s="4">
        <v>71</v>
      </c>
      <c r="AC42" s="4">
        <v>31</v>
      </c>
      <c r="AD42" s="4">
        <v>28</v>
      </c>
      <c r="AE42" s="4">
        <v>25</v>
      </c>
      <c r="AF42" s="4">
        <v>23</v>
      </c>
      <c r="AG42" s="4" t="str">
        <f>TEXT(28, "#,##0.0")</f>
        <v>28.0</v>
      </c>
      <c r="AH42" s="4" t="str">
        <f>TEXT(11.4, "#,##0.0")</f>
        <v>11.4</v>
      </c>
      <c r="AI42" s="4">
        <v>0</v>
      </c>
      <c r="AJ42" s="4">
        <v>2</v>
      </c>
      <c r="AK42" s="4">
        <v>90</v>
      </c>
    </row>
    <row r="43" spans="1:37">
      <c r="A43" s="60" t="s">
        <v>126</v>
      </c>
      <c r="B43" s="60" t="s">
        <v>127</v>
      </c>
      <c r="C43" s="57">
        <f>_xll.MSNStockQuote.Functions.MSNStockQuote($A43,"ask Price","US")</f>
        <v>73.010002136230497</v>
      </c>
      <c r="D43" s="52">
        <v>70</v>
      </c>
      <c r="E43" s="53" t="str">
        <f t="shared" si="9"/>
        <v>70.0</v>
      </c>
      <c r="F43" s="54">
        <v>1</v>
      </c>
      <c r="G43" s="54">
        <v>11</v>
      </c>
      <c r="H43" s="55" t="str">
        <f t="shared" si="10"/>
        <v>\11A22\</v>
      </c>
      <c r="I43" s="56" t="str">
        <f t="shared" si="11"/>
        <v>.VMW\11A22\70.0</v>
      </c>
      <c r="J43" s="57">
        <f>_xll.MSNStockQuote.Functions.MSNStockQuote($I43,"Bid Price","US")</f>
        <v>0</v>
      </c>
      <c r="K43" s="55">
        <f t="shared" ca="1" si="12"/>
        <v>186.45289317129937</v>
      </c>
      <c r="L43" s="57">
        <f t="shared" si="13"/>
        <v>73.010002136230497</v>
      </c>
      <c r="M43" s="58">
        <f t="shared" si="14"/>
        <v>0</v>
      </c>
      <c r="N43" s="57">
        <f t="shared" si="15"/>
        <v>-3.0100021362304972</v>
      </c>
      <c r="O43" s="59">
        <f t="shared" si="16"/>
        <v>-4.1227257199829788E-2</v>
      </c>
      <c r="P43" s="59">
        <f t="shared" ca="1" si="17"/>
        <v>-8.0706438081992696E-2</v>
      </c>
      <c r="Q43" s="2" t="str">
        <f>TEXT(0.64, "#,##0.00")</f>
        <v>0.64</v>
      </c>
      <c r="R43" s="2" t="str">
        <f>TEXT(0.9, "#,##0.0")</f>
        <v>0.9</v>
      </c>
      <c r="S43" s="2" t="str">
        <f>TEXT(-3.23, "#,##0.00")</f>
        <v>-3.23</v>
      </c>
      <c r="T43" s="2">
        <v>1886</v>
      </c>
      <c r="U43" s="2" t="str">
        <f>TEXT(-27.7, "#,##0.0")</f>
        <v>-27.7</v>
      </c>
      <c r="V43" s="2">
        <v>99</v>
      </c>
      <c r="W43" s="2">
        <v>84</v>
      </c>
      <c r="X43" s="2">
        <v>97</v>
      </c>
      <c r="Y43" s="2" t="s">
        <v>26</v>
      </c>
      <c r="Z43" s="2" t="s">
        <v>35</v>
      </c>
      <c r="AA43" s="2" t="s">
        <v>26</v>
      </c>
      <c r="AB43" s="2">
        <v>28</v>
      </c>
      <c r="AC43" s="2">
        <v>-14</v>
      </c>
      <c r="AD43" s="2">
        <v>60</v>
      </c>
      <c r="AE43" s="2">
        <v>31</v>
      </c>
      <c r="AF43" s="2">
        <v>35</v>
      </c>
      <c r="AG43" s="2" t="str">
        <f>TEXT(16.7, "#,##0.0")</f>
        <v>16.7</v>
      </c>
      <c r="AH43" s="2" t="str">
        <f>TEXT(23.8, "#,##0.0")</f>
        <v>23.8</v>
      </c>
      <c r="AI43" s="2">
        <v>2</v>
      </c>
      <c r="AJ43" s="2">
        <v>0</v>
      </c>
      <c r="AK43" s="2">
        <v>57</v>
      </c>
    </row>
    <row r="44" spans="1:37">
      <c r="A44" s="60" t="s">
        <v>158</v>
      </c>
      <c r="B44" s="60" t="s">
        <v>159</v>
      </c>
      <c r="C44" s="57">
        <f>_xll.MSNStockQuote.Functions.MSNStockQuote($A44,"ask Price","US")</f>
        <v>25.7600002288818</v>
      </c>
      <c r="D44" s="52">
        <v>25</v>
      </c>
      <c r="E44" s="53" t="str">
        <f t="shared" si="9"/>
        <v>25.0</v>
      </c>
      <c r="F44" s="54">
        <v>1</v>
      </c>
      <c r="G44" s="54">
        <v>11</v>
      </c>
      <c r="H44" s="55" t="str">
        <f t="shared" si="10"/>
        <v>\11A22\</v>
      </c>
      <c r="I44" s="56" t="str">
        <f t="shared" si="11"/>
        <v>.ASPS\11A22\25.0</v>
      </c>
      <c r="J44" s="57">
        <f>_xll.MSNStockQuote.Functions.MSNStockQuote($I44,"Bid Price","US")</f>
        <v>0</v>
      </c>
      <c r="K44" s="55">
        <f t="shared" ca="1" si="12"/>
        <v>186.45289317129937</v>
      </c>
      <c r="L44" s="57">
        <f t="shared" si="13"/>
        <v>25.7600002288818</v>
      </c>
      <c r="M44" s="58">
        <f t="shared" si="14"/>
        <v>0</v>
      </c>
      <c r="N44" s="57">
        <f t="shared" si="15"/>
        <v>-0.76000022888180041</v>
      </c>
      <c r="O44" s="59">
        <f t="shared" si="16"/>
        <v>-2.9503114213085192E-2</v>
      </c>
      <c r="P44" s="59">
        <f t="shared" ca="1" si="17"/>
        <v>-5.775526732043066E-2</v>
      </c>
      <c r="Q44" s="4" t="str">
        <f>TEXT(0.58, "#,##0.00")</f>
        <v>0.58</v>
      </c>
      <c r="R44" s="4" t="str">
        <f>TEXT(2.3, "#,##0.0")</f>
        <v>2.3</v>
      </c>
      <c r="S44" s="4" t="str">
        <f>TEXT(-13.35, "#,##0.00")</f>
        <v>-13.35</v>
      </c>
      <c r="T44" s="4">
        <v>121</v>
      </c>
      <c r="U44" s="4" t="str">
        <f>TEXT(-24.8, "#,##0.0")</f>
        <v>-24.8</v>
      </c>
      <c r="V44" s="4">
        <v>94</v>
      </c>
      <c r="W44" s="4">
        <v>84</v>
      </c>
      <c r="X44" s="4">
        <v>97</v>
      </c>
      <c r="Y44" s="4" t="s">
        <v>26</v>
      </c>
      <c r="Z44" s="4" t="s">
        <v>38</v>
      </c>
      <c r="AA44" s="4" t="s">
        <v>56</v>
      </c>
      <c r="AB44" s="4">
        <v>39</v>
      </c>
      <c r="AC44" s="4">
        <v>140</v>
      </c>
      <c r="AD44" s="4">
        <v>34</v>
      </c>
      <c r="AE44" s="4">
        <v>87</v>
      </c>
      <c r="AF44" s="4">
        <v>43</v>
      </c>
      <c r="AG44" s="4" t="str">
        <f>TEXT(35.4, "#,##0.0")</f>
        <v>35.4</v>
      </c>
      <c r="AH44" s="4" t="str">
        <f>TEXT(18.5, "#,##0.0")</f>
        <v>18.5</v>
      </c>
      <c r="AI44" s="4">
        <v>0</v>
      </c>
      <c r="AJ44" s="4">
        <v>1</v>
      </c>
      <c r="AK44" s="4">
        <v>78</v>
      </c>
    </row>
    <row r="45" spans="1:37">
      <c r="A45" s="60" t="s">
        <v>110</v>
      </c>
      <c r="B45" s="60" t="s">
        <v>111</v>
      </c>
      <c r="C45" s="57">
        <f>_xll.MSNStockQuote.Functions.MSNStockQuote($A45,"ask Price","US")</f>
        <v>29.7299995422363</v>
      </c>
      <c r="D45" s="52">
        <v>30</v>
      </c>
      <c r="E45" s="53" t="str">
        <f t="shared" si="9"/>
        <v>30.0</v>
      </c>
      <c r="F45" s="54">
        <v>12</v>
      </c>
      <c r="G45" s="54">
        <v>10</v>
      </c>
      <c r="H45" s="55" t="str">
        <f t="shared" si="10"/>
        <v>\10L18\</v>
      </c>
      <c r="I45" s="56" t="str">
        <f t="shared" si="11"/>
        <v>.GIL\10L18\30.0</v>
      </c>
      <c r="J45" s="57">
        <f>_xll.MSNStockQuote.Functions.MSNStockQuote($I45,"Bid Price","US")</f>
        <v>0</v>
      </c>
      <c r="K45" s="55">
        <f t="shared" ca="1" si="12"/>
        <v>151.45289317129937</v>
      </c>
      <c r="L45" s="57">
        <f t="shared" si="13"/>
        <v>29.7299995422363</v>
      </c>
      <c r="M45" s="58">
        <f t="shared" si="14"/>
        <v>0</v>
      </c>
      <c r="N45" s="57">
        <f t="shared" si="15"/>
        <v>0</v>
      </c>
      <c r="O45" s="59">
        <f t="shared" si="16"/>
        <v>0</v>
      </c>
      <c r="P45" s="59">
        <f t="shared" ca="1" si="17"/>
        <v>0</v>
      </c>
      <c r="Q45" s="4" t="str">
        <f>TEXT(0.5, "#,##0.00")</f>
        <v>0.50</v>
      </c>
      <c r="R45" s="4" t="str">
        <f>TEXT(1.7, "#,##0.0")</f>
        <v>1.7</v>
      </c>
      <c r="S45" s="4" t="str">
        <f>TEXT(-11.49, "#,##0.00")</f>
        <v>-11.49</v>
      </c>
      <c r="T45" s="4">
        <v>263</v>
      </c>
      <c r="U45" s="4" t="str">
        <f>TEXT(-69.4, "#,##0.0")</f>
        <v>-69.4</v>
      </c>
      <c r="V45" s="4">
        <v>94</v>
      </c>
      <c r="W45" s="4">
        <v>93</v>
      </c>
      <c r="X45" s="4">
        <v>93</v>
      </c>
      <c r="Y45" s="4" t="s">
        <v>26</v>
      </c>
      <c r="Z45" s="4" t="s">
        <v>56</v>
      </c>
      <c r="AA45" s="4" t="s">
        <v>27</v>
      </c>
      <c r="AB45" s="4">
        <v>583</v>
      </c>
      <c r="AC45" s="4">
        <v>500</v>
      </c>
      <c r="AD45" s="4">
        <v>30</v>
      </c>
      <c r="AE45" s="4">
        <v>80</v>
      </c>
      <c r="AF45" s="4">
        <v>33</v>
      </c>
      <c r="AG45" s="4" t="str">
        <f>TEXT(12.6, "#,##0.0")</f>
        <v>12.6</v>
      </c>
      <c r="AH45" s="4" t="str">
        <f>TEXT(10.1, "#,##0.0")</f>
        <v>10.1</v>
      </c>
      <c r="AI45" s="4">
        <v>6</v>
      </c>
      <c r="AJ45" s="4">
        <v>0</v>
      </c>
      <c r="AK45" s="4">
        <v>44</v>
      </c>
    </row>
    <row r="46" spans="1:37">
      <c r="A46" s="60" t="s">
        <v>83</v>
      </c>
      <c r="B46" s="60" t="s">
        <v>84</v>
      </c>
      <c r="C46" s="57">
        <f>_xll.MSNStockQuote.Functions.MSNStockQuote($A46,"ask Price","US")</f>
        <v>15.8900003433228</v>
      </c>
      <c r="D46" s="52">
        <v>15</v>
      </c>
      <c r="E46" s="53" t="str">
        <f t="shared" si="9"/>
        <v>15.0</v>
      </c>
      <c r="F46" s="54">
        <v>1</v>
      </c>
      <c r="G46" s="54">
        <v>11</v>
      </c>
      <c r="H46" s="55" t="str">
        <f t="shared" si="10"/>
        <v>\11A22\</v>
      </c>
      <c r="I46" s="56" t="str">
        <f t="shared" si="11"/>
        <v>.EGO\11A22\15.0</v>
      </c>
      <c r="J46" s="57">
        <f>_xll.MSNStockQuote.Functions.MSNStockQuote($I46,"Bid Price","US")</f>
        <v>0</v>
      </c>
      <c r="K46" s="55">
        <f t="shared" ca="1" si="12"/>
        <v>186.45289317129937</v>
      </c>
      <c r="L46" s="57">
        <f t="shared" si="13"/>
        <v>15.8900003433228</v>
      </c>
      <c r="M46" s="58">
        <f t="shared" si="14"/>
        <v>0</v>
      </c>
      <c r="N46" s="57">
        <f t="shared" si="15"/>
        <v>-0.89000034332280009</v>
      </c>
      <c r="O46" s="59">
        <f t="shared" si="16"/>
        <v>-5.6010089621979814E-2</v>
      </c>
      <c r="P46" s="59">
        <f t="shared" ca="1" si="17"/>
        <v>-0.10964529626923226</v>
      </c>
      <c r="Q46" s="4" t="str">
        <f>TEXT(-0.07, "#,##0.00")</f>
        <v>-0.07</v>
      </c>
      <c r="R46" s="4" t="str">
        <f>TEXT(-0.4, "#,##0.0")</f>
        <v>-0.4</v>
      </c>
      <c r="S46" s="4" t="str">
        <f>TEXT(-12.85, "#,##0.00")</f>
        <v>-12.85</v>
      </c>
      <c r="T46" s="4">
        <v>4111</v>
      </c>
      <c r="U46" s="4" t="str">
        <f>TEXT(-36.6, "#,##0.0")</f>
        <v>-36.6</v>
      </c>
      <c r="V46" s="4">
        <v>98</v>
      </c>
      <c r="W46" s="4">
        <v>92</v>
      </c>
      <c r="X46" s="4">
        <v>94</v>
      </c>
      <c r="Y46" s="4" t="s">
        <v>26</v>
      </c>
      <c r="Z46" s="4" t="s">
        <v>85</v>
      </c>
      <c r="AA46" s="4" t="s">
        <v>38</v>
      </c>
      <c r="AB46" s="4">
        <v>150</v>
      </c>
      <c r="AC46" s="4">
        <v>0</v>
      </c>
      <c r="AD46" s="4">
        <v>14</v>
      </c>
      <c r="AE46" s="4">
        <v>27</v>
      </c>
      <c r="AF46" s="4">
        <v>248</v>
      </c>
      <c r="AG46" s="4" t="str">
        <f>TEXT(6, "#,##0.0")</f>
        <v>6.0</v>
      </c>
      <c r="AH46" s="4" t="str">
        <f>TEXT(40.7, "#,##0.0")</f>
        <v>40.7</v>
      </c>
      <c r="AI46" s="4">
        <v>0</v>
      </c>
      <c r="AJ46" s="4">
        <v>0</v>
      </c>
      <c r="AK46" s="4">
        <v>30</v>
      </c>
    </row>
    <row r="47" spans="1:37">
      <c r="A47" s="60" t="s">
        <v>134</v>
      </c>
      <c r="B47" s="60" t="s">
        <v>135</v>
      </c>
      <c r="C47" s="57">
        <f>_xll.MSNStockQuote.Functions.MSNStockQuote($A47,"ask Price","US")</f>
        <v>19</v>
      </c>
      <c r="D47" s="52">
        <v>20</v>
      </c>
      <c r="E47" s="53" t="str">
        <f t="shared" si="9"/>
        <v>20.0</v>
      </c>
      <c r="F47" s="54">
        <v>1</v>
      </c>
      <c r="G47" s="54">
        <v>11</v>
      </c>
      <c r="H47" s="55" t="str">
        <f t="shared" si="10"/>
        <v>\11A22\</v>
      </c>
      <c r="I47" s="56" t="str">
        <f t="shared" si="11"/>
        <v>.CVLT\11A22\20.0</v>
      </c>
      <c r="J47" s="57">
        <f>_xll.MSNStockQuote.Functions.MSNStockQuote($I47,"Bid Price","US")</f>
        <v>0</v>
      </c>
      <c r="K47" s="55">
        <f t="shared" ca="1" si="12"/>
        <v>186.45289317129937</v>
      </c>
      <c r="L47" s="57">
        <f t="shared" si="13"/>
        <v>19</v>
      </c>
      <c r="M47" s="58">
        <f t="shared" si="14"/>
        <v>0</v>
      </c>
      <c r="N47" s="57">
        <f t="shared" si="15"/>
        <v>0</v>
      </c>
      <c r="O47" s="59">
        <f t="shared" si="16"/>
        <v>0</v>
      </c>
      <c r="P47" s="59">
        <f t="shared" ca="1" si="17"/>
        <v>0</v>
      </c>
      <c r="Q47" s="4" t="str">
        <f>TEXT(-5.12, "#,##0.00")</f>
        <v>-5.12</v>
      </c>
      <c r="R47" s="4" t="str">
        <f>TEXT(-21.8, "#,##0.0")</f>
        <v>-21.8</v>
      </c>
      <c r="S47" s="4" t="str">
        <f>TEXT(-4.24, "#,##0.00")</f>
        <v>-4.24</v>
      </c>
      <c r="T47" s="4">
        <v>7534</v>
      </c>
      <c r="U47" s="4" t="str">
        <f>TEXT(1164.1, "#,##0.0")</f>
        <v>1,164.1</v>
      </c>
      <c r="V47" s="4">
        <v>99</v>
      </c>
      <c r="W47" s="4">
        <v>97</v>
      </c>
      <c r="X47" s="4">
        <v>81</v>
      </c>
      <c r="Y47" s="4" t="s">
        <v>26</v>
      </c>
      <c r="Z47" s="4" t="s">
        <v>27</v>
      </c>
      <c r="AA47" s="4" t="s">
        <v>26</v>
      </c>
      <c r="AB47" s="4">
        <v>133</v>
      </c>
      <c r="AC47" s="4">
        <v>27</v>
      </c>
      <c r="AD47" s="4">
        <v>13</v>
      </c>
      <c r="AE47" s="4">
        <v>13</v>
      </c>
      <c r="AF47" s="4">
        <v>31</v>
      </c>
      <c r="AG47" s="4" t="str">
        <f>TEXT(24, "#,##0.0")</f>
        <v>24.0</v>
      </c>
      <c r="AH47" s="4" t="str">
        <f>TEXT(17.5, "#,##0.0")</f>
        <v>17.5</v>
      </c>
      <c r="AI47" s="4">
        <v>14</v>
      </c>
      <c r="AJ47" s="4">
        <v>0</v>
      </c>
      <c r="AK47" s="4">
        <v>62</v>
      </c>
    </row>
    <row r="48" spans="1:37">
      <c r="A48" s="60" t="s">
        <v>138</v>
      </c>
      <c r="B48" s="60" t="s">
        <v>139</v>
      </c>
      <c r="C48" s="57">
        <f>_xll.MSNStockQuote.Functions.MSNStockQuote($A48,"ask Price","US")</f>
        <v>40.5</v>
      </c>
      <c r="D48" s="52">
        <v>40</v>
      </c>
      <c r="E48" s="53" t="str">
        <f t="shared" si="9"/>
        <v>40.0</v>
      </c>
      <c r="F48" s="54">
        <v>12</v>
      </c>
      <c r="G48" s="54">
        <v>10</v>
      </c>
      <c r="H48" s="55" t="str">
        <f t="shared" si="10"/>
        <v>\10L18\</v>
      </c>
      <c r="I48" s="56" t="str">
        <f t="shared" si="11"/>
        <v>.BVN\10L18\40.0</v>
      </c>
      <c r="J48" s="57">
        <f>_xll.MSNStockQuote.Functions.MSNStockQuote($I48,"Bid Price","US")</f>
        <v>0</v>
      </c>
      <c r="K48" s="55">
        <f t="shared" ca="1" si="12"/>
        <v>151.45289317129937</v>
      </c>
      <c r="L48" s="57">
        <f t="shared" si="13"/>
        <v>40.5</v>
      </c>
      <c r="M48" s="58">
        <f t="shared" si="14"/>
        <v>0</v>
      </c>
      <c r="N48" s="57">
        <f t="shared" si="15"/>
        <v>-0.5</v>
      </c>
      <c r="O48" s="59">
        <f t="shared" si="16"/>
        <v>-1.2345679012345678E-2</v>
      </c>
      <c r="P48" s="59">
        <f t="shared" ca="1" si="17"/>
        <v>-2.9752966385458934E-2</v>
      </c>
      <c r="Q48" s="2" t="str">
        <f>TEXT(0.34, "#,##0.00")</f>
        <v>0.34</v>
      </c>
      <c r="R48" s="2" t="str">
        <f>TEXT(0.9, "#,##0.0")</f>
        <v>0.9</v>
      </c>
      <c r="S48" s="2" t="str">
        <f>TEXT(-7.94, "#,##0.00")</f>
        <v>-7.94</v>
      </c>
      <c r="T48" s="2">
        <v>973</v>
      </c>
      <c r="U48" s="2" t="str">
        <f>TEXT(-26.8, "#,##0.0")</f>
        <v>-26.8</v>
      </c>
      <c r="V48" s="2">
        <v>96</v>
      </c>
      <c r="W48" s="2">
        <v>94</v>
      </c>
      <c r="X48" s="2">
        <v>87</v>
      </c>
      <c r="Y48" s="2" t="s">
        <v>26</v>
      </c>
      <c r="Z48" s="2" t="s">
        <v>35</v>
      </c>
      <c r="AA48" s="2" t="s">
        <v>38</v>
      </c>
      <c r="AB48" s="2">
        <v>56</v>
      </c>
      <c r="AC48" s="2" t="s">
        <v>39</v>
      </c>
      <c r="AD48" s="2">
        <v>26</v>
      </c>
      <c r="AE48" s="2">
        <v>13</v>
      </c>
      <c r="AF48" s="2">
        <v>14</v>
      </c>
      <c r="AG48" s="2" t="str">
        <f>TEXT(28.5, "#,##0.0")</f>
        <v>28.5</v>
      </c>
      <c r="AH48" s="2" t="str">
        <f>TEXT(72, "#,##0.0")</f>
        <v>72.0</v>
      </c>
      <c r="AI48" s="2">
        <v>19</v>
      </c>
      <c r="AJ48" s="2">
        <v>0</v>
      </c>
      <c r="AK48" s="2">
        <v>65</v>
      </c>
    </row>
    <row r="49" spans="1:37">
      <c r="A49" s="60" t="s">
        <v>106</v>
      </c>
      <c r="B49" s="60" t="s">
        <v>107</v>
      </c>
      <c r="C49" s="57">
        <f>_xll.MSNStockQuote.Functions.MSNStockQuote($A49,"ask Price","US")</f>
        <v>15.930000305175801</v>
      </c>
      <c r="D49" s="52">
        <v>15</v>
      </c>
      <c r="E49" s="53" t="str">
        <f t="shared" si="9"/>
        <v>15.0</v>
      </c>
      <c r="F49" s="54">
        <v>12</v>
      </c>
      <c r="G49" s="54">
        <v>10</v>
      </c>
      <c r="H49" s="55" t="str">
        <f t="shared" si="10"/>
        <v>\10L18\</v>
      </c>
      <c r="I49" s="56" t="str">
        <f t="shared" si="11"/>
        <v>.IAG\10L18\15.0</v>
      </c>
      <c r="J49" s="57">
        <f>_xll.MSNStockQuote.Functions.MSNStockQuote($I49,"Bid Price","US")</f>
        <v>0</v>
      </c>
      <c r="K49" s="55">
        <f t="shared" ca="1" si="12"/>
        <v>151.45289317129937</v>
      </c>
      <c r="L49" s="57">
        <f t="shared" si="13"/>
        <v>15.930000305175801</v>
      </c>
      <c r="M49" s="58">
        <f t="shared" si="14"/>
        <v>0</v>
      </c>
      <c r="N49" s="57">
        <f t="shared" si="15"/>
        <v>-0.93000030517580079</v>
      </c>
      <c r="O49" s="59">
        <f t="shared" si="16"/>
        <v>-5.8380432351506945E-2</v>
      </c>
      <c r="P49" s="59">
        <f t="shared" ca="1" si="17"/>
        <v>-0.14069627434715859</v>
      </c>
      <c r="Q49" s="4" t="str">
        <f>TEXT(0.08, "#,##0.00")</f>
        <v>0.08</v>
      </c>
      <c r="R49" s="4" t="str">
        <f>TEXT(0.5, "#,##0.0")</f>
        <v>0.5</v>
      </c>
      <c r="S49" s="4" t="str">
        <f>TEXT(-20.67, "#,##0.00")</f>
        <v>-20.67</v>
      </c>
      <c r="T49" s="4">
        <v>2779</v>
      </c>
      <c r="U49" s="4" t="str">
        <f>TEXT(-36.7, "#,##0.0")</f>
        <v>-36.7</v>
      </c>
      <c r="V49" s="4">
        <v>97</v>
      </c>
      <c r="W49" s="4">
        <v>96</v>
      </c>
      <c r="X49" s="4">
        <v>87</v>
      </c>
      <c r="Y49" s="4" t="s">
        <v>26</v>
      </c>
      <c r="Z49" s="4" t="s">
        <v>37</v>
      </c>
      <c r="AA49" s="4" t="s">
        <v>38</v>
      </c>
      <c r="AB49" s="4">
        <v>40</v>
      </c>
      <c r="AC49" s="4">
        <v>83</v>
      </c>
      <c r="AD49" s="4">
        <v>-7</v>
      </c>
      <c r="AE49" s="4">
        <v>46</v>
      </c>
      <c r="AF49" s="4">
        <v>27</v>
      </c>
      <c r="AG49" s="4" t="str">
        <f>TEXT(9.4, "#,##0.0")</f>
        <v>9.4</v>
      </c>
      <c r="AH49" s="4" t="str">
        <f>TEXT(32.1, "#,##0.0")</f>
        <v>32.1</v>
      </c>
      <c r="AI49" s="4">
        <v>1</v>
      </c>
      <c r="AJ49" s="4">
        <v>1</v>
      </c>
      <c r="AK49" s="4">
        <v>42</v>
      </c>
    </row>
    <row r="50" spans="1:37">
      <c r="A50" s="60" t="s">
        <v>104</v>
      </c>
      <c r="B50" s="60" t="s">
        <v>105</v>
      </c>
      <c r="C50" s="57">
        <f>_xll.MSNStockQuote.Functions.MSNStockQuote($A50,"ask Price","US")</f>
        <v>51</v>
      </c>
      <c r="D50" s="52">
        <v>50</v>
      </c>
      <c r="E50" s="53" t="str">
        <f t="shared" si="9"/>
        <v>50.0</v>
      </c>
      <c r="F50" s="54">
        <v>1</v>
      </c>
      <c r="G50" s="54">
        <v>11</v>
      </c>
      <c r="H50" s="55" t="str">
        <f t="shared" si="10"/>
        <v>\11A22\</v>
      </c>
      <c r="I50" s="56" t="str">
        <f t="shared" si="11"/>
        <v>.HLF\11A22\50.0</v>
      </c>
      <c r="J50" s="57">
        <f>_xll.MSNStockQuote.Functions.MSNStockQuote($I50,"Bid Price","US")</f>
        <v>0</v>
      </c>
      <c r="K50" s="55">
        <f t="shared" ca="1" si="12"/>
        <v>186.45289317129937</v>
      </c>
      <c r="L50" s="57">
        <f t="shared" si="13"/>
        <v>51</v>
      </c>
      <c r="M50" s="58">
        <f t="shared" si="14"/>
        <v>0</v>
      </c>
      <c r="N50" s="57">
        <f t="shared" si="15"/>
        <v>-1</v>
      </c>
      <c r="O50" s="59">
        <f t="shared" si="16"/>
        <v>-1.9607843137254902E-2</v>
      </c>
      <c r="P50" s="59">
        <f t="shared" ca="1" si="17"/>
        <v>-3.8384294410078332E-2</v>
      </c>
      <c r="Q50" s="2" t="str">
        <f>TEXT(0.05, "#,##0.00")</f>
        <v>0.05</v>
      </c>
      <c r="R50" s="2" t="str">
        <f>TEXT(0.1, "#,##0.0")</f>
        <v>0.1</v>
      </c>
      <c r="S50" s="2" t="str">
        <f>TEXT(-8.47, "#,##0.00")</f>
        <v>-8.47</v>
      </c>
      <c r="T50" s="2">
        <v>464</v>
      </c>
      <c r="U50" s="2" t="str">
        <f>TEXT(-34.3, "#,##0.0")</f>
        <v>-34.3</v>
      </c>
      <c r="V50" s="2">
        <v>96</v>
      </c>
      <c r="W50" s="2">
        <v>96</v>
      </c>
      <c r="X50" s="2">
        <v>87</v>
      </c>
      <c r="Y50" s="2" t="s">
        <v>26</v>
      </c>
      <c r="Z50" s="2" t="s">
        <v>27</v>
      </c>
      <c r="AA50" s="2" t="s">
        <v>27</v>
      </c>
      <c r="AB50" s="2">
        <v>44</v>
      </c>
      <c r="AC50" s="2">
        <v>42</v>
      </c>
      <c r="AD50" s="2">
        <v>19</v>
      </c>
      <c r="AE50" s="2">
        <v>19</v>
      </c>
      <c r="AF50" s="2">
        <v>19</v>
      </c>
      <c r="AG50" s="2" t="str">
        <f>TEXT(68.9, "#,##0.0")</f>
        <v>68.9</v>
      </c>
      <c r="AH50" s="2" t="str">
        <f>TEXT(12.5, "#,##0.0")</f>
        <v>12.5</v>
      </c>
      <c r="AI50" s="2">
        <v>6</v>
      </c>
      <c r="AJ50" s="2">
        <v>0</v>
      </c>
      <c r="AK50" s="2">
        <v>41</v>
      </c>
    </row>
    <row r="51" spans="1:37">
      <c r="A51" s="60" t="s">
        <v>170</v>
      </c>
      <c r="B51" s="60" t="s">
        <v>171</v>
      </c>
      <c r="C51" s="57">
        <f>_xll.MSNStockQuote.Functions.MSNStockQuote($A51,"ask Price","US")</f>
        <v>32.849998474121101</v>
      </c>
      <c r="D51" s="52">
        <v>35</v>
      </c>
      <c r="E51" s="53" t="str">
        <f t="shared" si="9"/>
        <v>35.0</v>
      </c>
      <c r="F51" s="54">
        <v>12</v>
      </c>
      <c r="G51" s="54">
        <v>10</v>
      </c>
      <c r="H51" s="55" t="str">
        <f t="shared" si="10"/>
        <v>\10L18\</v>
      </c>
      <c r="I51" s="56" t="str">
        <f t="shared" si="11"/>
        <v>.URBN\10L18\35.0</v>
      </c>
      <c r="J51" s="57">
        <f>_xll.MSNStockQuote.Functions.MSNStockQuote($I51,"Bid Price","US")</f>
        <v>0</v>
      </c>
      <c r="K51" s="55">
        <f t="shared" ca="1" si="12"/>
        <v>151.45289317129937</v>
      </c>
      <c r="L51" s="57">
        <f t="shared" si="13"/>
        <v>32.849998474121101</v>
      </c>
      <c r="M51" s="58">
        <f t="shared" si="14"/>
        <v>0</v>
      </c>
      <c r="N51" s="57">
        <f t="shared" si="15"/>
        <v>0</v>
      </c>
      <c r="O51" s="59">
        <f t="shared" si="16"/>
        <v>0</v>
      </c>
      <c r="P51" s="59">
        <f t="shared" ca="1" si="17"/>
        <v>0</v>
      </c>
      <c r="Q51" s="2" t="str">
        <f>TEXT(0.25, "#,##0.00")</f>
        <v>0.25</v>
      </c>
      <c r="R51" s="2" t="str">
        <f>TEXT(0.7, "#,##0.0")</f>
        <v>0.7</v>
      </c>
      <c r="S51" s="2" t="str">
        <f>TEXT(-17.58, "#,##0.00")</f>
        <v>-17.58</v>
      </c>
      <c r="T51" s="2">
        <v>5709</v>
      </c>
      <c r="U51" s="2" t="str">
        <f>TEXT(64, "#,##0.0")</f>
        <v>64.0</v>
      </c>
      <c r="V51" s="2">
        <v>97</v>
      </c>
      <c r="W51" s="2">
        <v>97</v>
      </c>
      <c r="X51" s="2">
        <v>78</v>
      </c>
      <c r="Y51" s="2" t="s">
        <v>26</v>
      </c>
      <c r="Z51" s="2" t="s">
        <v>31</v>
      </c>
      <c r="AA51" s="2" t="s">
        <v>32</v>
      </c>
      <c r="AB51" s="2">
        <v>72</v>
      </c>
      <c r="AC51" s="2">
        <v>88</v>
      </c>
      <c r="AD51" s="2">
        <v>34</v>
      </c>
      <c r="AE51" s="2">
        <v>31</v>
      </c>
      <c r="AF51" s="2">
        <v>25</v>
      </c>
      <c r="AG51" s="2" t="str">
        <f>TEXT(18.7, "#,##0.0")</f>
        <v>18.7</v>
      </c>
      <c r="AH51" s="2" t="str">
        <f>TEXT(17.8, "#,##0.0")</f>
        <v>17.8</v>
      </c>
      <c r="AI51" s="2">
        <v>30</v>
      </c>
      <c r="AJ51" s="2">
        <v>3</v>
      </c>
      <c r="AK51" s="2">
        <v>85</v>
      </c>
    </row>
    <row r="52" spans="1:37">
      <c r="A52" s="60" t="s">
        <v>62</v>
      </c>
      <c r="B52" s="60" t="s">
        <v>63</v>
      </c>
      <c r="C52" s="57">
        <f>_xll.MSNStockQuote.Functions.MSNStockQuote($A52,"ask Price","US")</f>
        <v>59.25</v>
      </c>
      <c r="D52" s="52">
        <v>60</v>
      </c>
      <c r="E52" s="53" t="str">
        <f t="shared" si="9"/>
        <v>60.0</v>
      </c>
      <c r="F52" s="54">
        <v>1</v>
      </c>
      <c r="G52" s="54">
        <v>11</v>
      </c>
      <c r="H52" s="55" t="str">
        <f t="shared" si="10"/>
        <v>\11A22\</v>
      </c>
      <c r="I52" s="56" t="str">
        <f t="shared" si="11"/>
        <v>.NEM\11A22\60.0</v>
      </c>
      <c r="J52" s="57">
        <f>_xll.MSNStockQuote.Functions.MSNStockQuote($I52,"Bid Price","US")</f>
        <v>0</v>
      </c>
      <c r="K52" s="55">
        <f t="shared" ca="1" si="12"/>
        <v>186.45289317129937</v>
      </c>
      <c r="L52" s="57">
        <f t="shared" si="13"/>
        <v>59.25</v>
      </c>
      <c r="M52" s="58">
        <f t="shared" si="14"/>
        <v>0</v>
      </c>
      <c r="N52" s="57">
        <f t="shared" si="15"/>
        <v>0</v>
      </c>
      <c r="O52" s="59">
        <f t="shared" si="16"/>
        <v>0</v>
      </c>
      <c r="P52" s="59">
        <f t="shared" ca="1" si="17"/>
        <v>0</v>
      </c>
      <c r="Q52" s="4" t="str">
        <f>TEXT(0.1, "#,##0.00")</f>
        <v>0.10</v>
      </c>
      <c r="R52" s="4" t="str">
        <f>TEXT(0.2, "#,##0.0")</f>
        <v>0.2</v>
      </c>
      <c r="S52" s="4" t="str">
        <f>TEXT(-2.84, "#,##0.00")</f>
        <v>-2.84</v>
      </c>
      <c r="T52" s="4">
        <v>6479</v>
      </c>
      <c r="U52" s="4" t="str">
        <f>TEXT(-35.8, "#,##0.0")</f>
        <v>-35.8</v>
      </c>
      <c r="V52" s="4">
        <v>98</v>
      </c>
      <c r="W52" s="4">
        <v>98</v>
      </c>
      <c r="X52" s="4">
        <v>90</v>
      </c>
      <c r="Y52" s="4" t="s">
        <v>26</v>
      </c>
      <c r="Z52" s="4" t="s">
        <v>35</v>
      </c>
      <c r="AA52" s="4" t="s">
        <v>38</v>
      </c>
      <c r="AB52" s="4">
        <v>89</v>
      </c>
      <c r="AC52" s="4">
        <v>338</v>
      </c>
      <c r="AD52" s="4">
        <v>107</v>
      </c>
      <c r="AE52" s="4">
        <v>33</v>
      </c>
      <c r="AF52" s="4">
        <v>46</v>
      </c>
      <c r="AG52" s="4" t="str">
        <f>TEXT(15.2, "#,##0.0")</f>
        <v>15.2</v>
      </c>
      <c r="AH52" s="4" t="str">
        <f>TEXT(38.7, "#,##0.0")</f>
        <v>38.7</v>
      </c>
      <c r="AI52" s="4">
        <v>1</v>
      </c>
      <c r="AJ52" s="4">
        <v>0</v>
      </c>
      <c r="AK52" s="4">
        <v>18</v>
      </c>
    </row>
    <row r="53" spans="1:37">
      <c r="A53" s="60" t="s">
        <v>128</v>
      </c>
      <c r="B53" s="60" t="s">
        <v>129</v>
      </c>
      <c r="C53" s="57">
        <f>_xll.MSNStockQuote.Functions.MSNStockQuote($A53,"ask Price","US")</f>
        <v>90</v>
      </c>
      <c r="D53" s="52">
        <v>90</v>
      </c>
      <c r="E53" s="53" t="str">
        <f t="shared" si="9"/>
        <v>90.0</v>
      </c>
      <c r="F53" s="54">
        <v>12</v>
      </c>
      <c r="G53" s="54">
        <v>10</v>
      </c>
      <c r="H53" s="55" t="str">
        <f t="shared" si="10"/>
        <v>\10L18\</v>
      </c>
      <c r="I53" s="56" t="str">
        <f t="shared" si="11"/>
        <v>.LZ\10L18\90.0</v>
      </c>
      <c r="J53" s="57">
        <f>_xll.MSNStockQuote.Functions.MSNStockQuote($I53,"Bid Price","US")</f>
        <v>0</v>
      </c>
      <c r="K53" s="55">
        <f t="shared" ca="1" si="12"/>
        <v>151.45289317129937</v>
      </c>
      <c r="L53" s="57">
        <f t="shared" si="13"/>
        <v>90</v>
      </c>
      <c r="M53" s="58">
        <f t="shared" si="14"/>
        <v>0</v>
      </c>
      <c r="N53" s="57">
        <f t="shared" si="15"/>
        <v>0</v>
      </c>
      <c r="O53" s="59">
        <f t="shared" si="16"/>
        <v>0</v>
      </c>
      <c r="P53" s="59">
        <f t="shared" ca="1" si="17"/>
        <v>0</v>
      </c>
      <c r="Q53" s="2" t="str">
        <f>TEXT(2.25, "#,##0.00")</f>
        <v>2.25</v>
      </c>
      <c r="R53" s="2" t="str">
        <f>TEXT(2.6, "#,##0.0")</f>
        <v>2.6</v>
      </c>
      <c r="S53" s="2" t="str">
        <f>TEXT(-11.99, "#,##0.00")</f>
        <v>-11.99</v>
      </c>
      <c r="T53" s="2">
        <v>1108</v>
      </c>
      <c r="U53" s="2" t="str">
        <f>TEXT(30.4, "#,##0.0")</f>
        <v>30.4</v>
      </c>
      <c r="V53" s="2">
        <v>97</v>
      </c>
      <c r="W53" s="2">
        <v>98</v>
      </c>
      <c r="X53" s="2">
        <v>81</v>
      </c>
      <c r="Y53" s="2" t="s">
        <v>26</v>
      </c>
      <c r="Z53" s="2" t="s">
        <v>27</v>
      </c>
      <c r="AA53" s="2" t="s">
        <v>32</v>
      </c>
      <c r="AB53" s="2">
        <v>120</v>
      </c>
      <c r="AC53" s="2">
        <v>164</v>
      </c>
      <c r="AD53" s="2">
        <v>17</v>
      </c>
      <c r="AE53" s="2">
        <v>15</v>
      </c>
      <c r="AF53" s="2">
        <v>30</v>
      </c>
      <c r="AG53" s="2" t="str">
        <f>TEXT(29, "#,##0.0")</f>
        <v>29.0</v>
      </c>
      <c r="AH53" s="2" t="str">
        <f>TEXT(16.5, "#,##0.0")</f>
        <v>16.5</v>
      </c>
      <c r="AI53" s="2">
        <v>3</v>
      </c>
      <c r="AJ53" s="2">
        <v>4</v>
      </c>
      <c r="AK53" s="2">
        <v>59</v>
      </c>
    </row>
    <row r="54" spans="1:37">
      <c r="A54" s="60" t="s">
        <v>76</v>
      </c>
      <c r="B54" s="60" t="s">
        <v>77</v>
      </c>
      <c r="C54" s="57">
        <f>_xll.MSNStockQuote.Functions.MSNStockQuote($A54,"ask Price","US")</f>
        <v>37</v>
      </c>
      <c r="D54" s="52">
        <v>35</v>
      </c>
      <c r="E54" s="53" t="str">
        <f t="shared" si="9"/>
        <v>35.0</v>
      </c>
      <c r="F54" s="54">
        <v>12</v>
      </c>
      <c r="G54" s="54">
        <v>10</v>
      </c>
      <c r="H54" s="55" t="str">
        <f t="shared" si="10"/>
        <v>\10L18\</v>
      </c>
      <c r="I54" s="56" t="str">
        <f t="shared" si="11"/>
        <v>.SHOO\10L18\35.0</v>
      </c>
      <c r="J54" s="57">
        <f>_xll.MSNStockQuote.Functions.MSNStockQuote($I54,"Bid Price","US")</f>
        <v>0</v>
      </c>
      <c r="K54" s="55">
        <f t="shared" ca="1" si="12"/>
        <v>151.45289317129937</v>
      </c>
      <c r="L54" s="57">
        <f t="shared" si="13"/>
        <v>37</v>
      </c>
      <c r="M54" s="58">
        <f t="shared" si="14"/>
        <v>0</v>
      </c>
      <c r="N54" s="57">
        <f t="shared" si="15"/>
        <v>-2</v>
      </c>
      <c r="O54" s="59">
        <f t="shared" si="16"/>
        <v>-5.4054054054054057E-2</v>
      </c>
      <c r="P54" s="59">
        <f t="shared" ca="1" si="17"/>
        <v>-0.13026974471471209</v>
      </c>
      <c r="Q54" s="2" t="str">
        <f>TEXT(0.81, "#,##0.00")</f>
        <v>0.81</v>
      </c>
      <c r="R54" s="2" t="str">
        <f>TEXT(2.5, "#,##0.0")</f>
        <v>2.5</v>
      </c>
      <c r="S54" s="2" t="str">
        <f>TEXT(-21.01, "#,##0.00")</f>
        <v>-21.01</v>
      </c>
      <c r="T54" s="2">
        <v>279</v>
      </c>
      <c r="U54" s="2" t="str">
        <f>TEXT(-43.7, "#,##0.0")</f>
        <v>-43.7</v>
      </c>
      <c r="V54" s="2">
        <v>99</v>
      </c>
      <c r="W54" s="2">
        <v>97</v>
      </c>
      <c r="X54" s="2">
        <v>89</v>
      </c>
      <c r="Y54" s="2" t="s">
        <v>26</v>
      </c>
      <c r="Z54" s="2" t="s">
        <v>78</v>
      </c>
      <c r="AA54" s="2" t="s">
        <v>36</v>
      </c>
      <c r="AB54" s="2">
        <v>129</v>
      </c>
      <c r="AC54" s="2">
        <v>81</v>
      </c>
      <c r="AD54" s="2">
        <v>30</v>
      </c>
      <c r="AE54" s="2">
        <v>33</v>
      </c>
      <c r="AF54" s="2">
        <v>23</v>
      </c>
      <c r="AG54" s="2" t="str">
        <f>TEXT(21.1, "#,##0.0")</f>
        <v>21.1</v>
      </c>
      <c r="AH54" s="2" t="str">
        <f>TEXT(16, "#,##0.0")</f>
        <v>16.0</v>
      </c>
      <c r="AI54" s="2">
        <v>3</v>
      </c>
      <c r="AJ54" s="2">
        <v>2</v>
      </c>
      <c r="AK54" s="2">
        <v>27</v>
      </c>
    </row>
    <row r="55" spans="1:37">
      <c r="A55" s="60" t="s">
        <v>66</v>
      </c>
      <c r="B55" s="60" t="s">
        <v>67</v>
      </c>
      <c r="C55" s="57">
        <f>_xll.MSNStockQuote.Functions.MSNStockQuote($A55,"ask Price","US")</f>
        <v>53.680000305175803</v>
      </c>
      <c r="D55" s="52">
        <v>55</v>
      </c>
      <c r="E55" s="53" t="str">
        <f t="shared" si="9"/>
        <v>55.0</v>
      </c>
      <c r="F55" s="54">
        <v>1</v>
      </c>
      <c r="G55" s="54">
        <v>11</v>
      </c>
      <c r="H55" s="55" t="str">
        <f t="shared" si="10"/>
        <v>\11A22\</v>
      </c>
      <c r="I55" s="56" t="str">
        <f t="shared" si="11"/>
        <v>.CTSH\11A22\55.0</v>
      </c>
      <c r="J55" s="57">
        <f>_xll.MSNStockQuote.Functions.MSNStockQuote($I55,"Bid Price","US")</f>
        <v>0</v>
      </c>
      <c r="K55" s="55">
        <f t="shared" ca="1" si="12"/>
        <v>186.45289317129937</v>
      </c>
      <c r="L55" s="57">
        <f t="shared" si="13"/>
        <v>53.680000305175803</v>
      </c>
      <c r="M55" s="58">
        <f t="shared" si="14"/>
        <v>0</v>
      </c>
      <c r="N55" s="57">
        <f t="shared" si="15"/>
        <v>0</v>
      </c>
      <c r="O55" s="59">
        <f t="shared" si="16"/>
        <v>0</v>
      </c>
      <c r="P55" s="59">
        <f t="shared" ca="1" si="17"/>
        <v>0</v>
      </c>
      <c r="Q55" s="4" t="str">
        <f>TEXT(0.59, "#,##0.00")</f>
        <v>0.59</v>
      </c>
      <c r="R55" s="4" t="str">
        <f>TEXT(1.1, "#,##0.0")</f>
        <v>1.1</v>
      </c>
      <c r="S55" s="4" t="str">
        <f>TEXT(-2.86, "#,##0.00")</f>
        <v>-2.86</v>
      </c>
      <c r="T55" s="4">
        <v>6055</v>
      </c>
      <c r="U55" s="4" t="str">
        <f>TEXT(48.6, "#,##0.0")</f>
        <v>48.6</v>
      </c>
      <c r="V55" s="4">
        <v>99</v>
      </c>
      <c r="W55" s="4">
        <v>96</v>
      </c>
      <c r="X55" s="4">
        <v>91</v>
      </c>
      <c r="Y55" s="4" t="s">
        <v>26</v>
      </c>
      <c r="Z55" s="4" t="s">
        <v>27</v>
      </c>
      <c r="AA55" s="4" t="s">
        <v>35</v>
      </c>
      <c r="AB55" s="4">
        <v>29</v>
      </c>
      <c r="AC55" s="4">
        <v>22</v>
      </c>
      <c r="AD55" s="4">
        <v>4</v>
      </c>
      <c r="AE55" s="4">
        <v>12</v>
      </c>
      <c r="AF55" s="4">
        <v>29</v>
      </c>
      <c r="AG55" s="4" t="str">
        <f>TEXT(24.7, "#,##0.0")</f>
        <v>24.7</v>
      </c>
      <c r="AH55" s="4" t="str">
        <f>TEXT(20.8, "#,##0.0")</f>
        <v>20.8</v>
      </c>
      <c r="AI55" s="4">
        <v>2</v>
      </c>
      <c r="AJ55" s="4">
        <v>6</v>
      </c>
      <c r="AK55" s="4">
        <v>22</v>
      </c>
    </row>
    <row r="56" spans="1:37">
      <c r="A56" s="60" t="s">
        <v>154</v>
      </c>
      <c r="B56" s="60" t="s">
        <v>155</v>
      </c>
      <c r="C56" s="57">
        <f>_xll.MSNStockQuote.Functions.MSNStockQuote($A56,"ask Price","US")</f>
        <v>2000</v>
      </c>
      <c r="D56" s="52">
        <v>65</v>
      </c>
      <c r="E56" s="53" t="str">
        <f t="shared" si="9"/>
        <v>65.0</v>
      </c>
      <c r="F56" s="54">
        <v>1</v>
      </c>
      <c r="G56" s="54">
        <v>11</v>
      </c>
      <c r="H56" s="55" t="str">
        <f t="shared" si="10"/>
        <v>\11A22\</v>
      </c>
      <c r="I56" s="56" t="str">
        <f t="shared" si="11"/>
        <v>.TSCO\11A22\65.0</v>
      </c>
      <c r="J56" s="57">
        <f>_xll.MSNStockQuote.Functions.MSNStockQuote($I56,"Bid Price","US")</f>
        <v>0</v>
      </c>
      <c r="K56" s="55">
        <f t="shared" ca="1" si="12"/>
        <v>186.45289317129937</v>
      </c>
      <c r="L56" s="57">
        <f t="shared" si="13"/>
        <v>2000</v>
      </c>
      <c r="M56" s="58">
        <f t="shared" si="14"/>
        <v>0</v>
      </c>
      <c r="N56" s="57">
        <f t="shared" si="15"/>
        <v>-1935</v>
      </c>
      <c r="O56" s="59">
        <f t="shared" si="16"/>
        <v>-0.96750000000000003</v>
      </c>
      <c r="P56" s="59">
        <f t="shared" ca="1" si="17"/>
        <v>-1.8939770469292903</v>
      </c>
      <c r="Q56" s="4" t="str">
        <f>TEXT(1.45, "#,##0.00")</f>
        <v>1.45</v>
      </c>
      <c r="R56" s="4" t="str">
        <f>TEXT(2.2, "#,##0.0")</f>
        <v>2.2</v>
      </c>
      <c r="S56" s="4" t="str">
        <f>TEXT(-8.26, "#,##0.00")</f>
        <v>-8.26</v>
      </c>
      <c r="T56" s="4">
        <v>492</v>
      </c>
      <c r="U56" s="4" t="str">
        <f>TEXT(-32.7, "#,##0.0")</f>
        <v>-32.7</v>
      </c>
      <c r="V56" s="4">
        <v>94</v>
      </c>
      <c r="W56" s="4">
        <v>95</v>
      </c>
      <c r="X56" s="4">
        <v>83</v>
      </c>
      <c r="Y56" s="4" t="s">
        <v>35</v>
      </c>
      <c r="Z56" s="4" t="s">
        <v>35</v>
      </c>
      <c r="AA56" s="4" t="s">
        <v>35</v>
      </c>
      <c r="AB56" s="4">
        <v>2400</v>
      </c>
      <c r="AC56" s="4">
        <v>55</v>
      </c>
      <c r="AD56" s="4">
        <v>33</v>
      </c>
      <c r="AE56" s="4">
        <v>28</v>
      </c>
      <c r="AF56" s="4">
        <v>9</v>
      </c>
      <c r="AG56" s="4" t="str">
        <f>TEXT(17.2, "#,##0.0")</f>
        <v>17.2</v>
      </c>
      <c r="AH56" s="4" t="str">
        <f>TEXT(5.7, "#,##0.0")</f>
        <v>5.7</v>
      </c>
      <c r="AI56" s="4">
        <v>3</v>
      </c>
      <c r="AJ56" s="4">
        <v>0</v>
      </c>
      <c r="AK56" s="4">
        <v>76</v>
      </c>
    </row>
    <row r="57" spans="1:37">
      <c r="A57" s="60" t="s">
        <v>50</v>
      </c>
      <c r="B57" s="60" t="s">
        <v>51</v>
      </c>
      <c r="C57" s="57">
        <f>_xll.MSNStockQuote.Functions.MSNStockQuote($A57,"ask Price","US")</f>
        <v>68.209999084472699</v>
      </c>
      <c r="D57" s="52">
        <v>70</v>
      </c>
      <c r="E57" s="53" t="str">
        <f t="shared" si="9"/>
        <v>70.0</v>
      </c>
      <c r="F57" s="54">
        <v>12</v>
      </c>
      <c r="G57" s="54">
        <v>10</v>
      </c>
      <c r="H57" s="55" t="str">
        <f t="shared" si="10"/>
        <v>\10L18\</v>
      </c>
      <c r="I57" s="56" t="str">
        <f t="shared" si="11"/>
        <v>.SAM\10L18\70.0</v>
      </c>
      <c r="J57" s="57">
        <f>_xll.MSNStockQuote.Functions.MSNStockQuote($I57,"Bid Price","US")</f>
        <v>0</v>
      </c>
      <c r="K57" s="55">
        <f t="shared" ca="1" si="12"/>
        <v>151.45289317129937</v>
      </c>
      <c r="L57" s="57">
        <f t="shared" si="13"/>
        <v>68.209999084472699</v>
      </c>
      <c r="M57" s="58">
        <f t="shared" si="14"/>
        <v>0</v>
      </c>
      <c r="N57" s="57">
        <f t="shared" si="15"/>
        <v>0</v>
      </c>
      <c r="O57" s="59">
        <f t="shared" si="16"/>
        <v>0</v>
      </c>
      <c r="P57" s="59">
        <f t="shared" ca="1" si="17"/>
        <v>0</v>
      </c>
      <c r="Q57" s="2" t="str">
        <f>TEXT(0.33, "#,##0.00")</f>
        <v>0.33</v>
      </c>
      <c r="R57" s="2" t="str">
        <f>TEXT(0.5, "#,##0.0")</f>
        <v>0.5</v>
      </c>
      <c r="S57" s="2" t="str">
        <f>TEXT(-6.74, "#,##0.00")</f>
        <v>-6.74</v>
      </c>
      <c r="T57" s="2">
        <v>166</v>
      </c>
      <c r="U57" s="2" t="str">
        <f>TEXT(-6.8, "#,##0.0")</f>
        <v>-6.8</v>
      </c>
      <c r="V57" s="2">
        <v>97</v>
      </c>
      <c r="W57" s="2">
        <v>96</v>
      </c>
      <c r="X57" s="2">
        <v>97</v>
      </c>
      <c r="Y57" s="2" t="s">
        <v>26</v>
      </c>
      <c r="Z57" s="2" t="s">
        <v>35</v>
      </c>
      <c r="AA57" s="2" t="s">
        <v>38</v>
      </c>
      <c r="AB57" s="2">
        <v>340</v>
      </c>
      <c r="AC57" s="2">
        <v>58</v>
      </c>
      <c r="AD57" s="2">
        <v>33</v>
      </c>
      <c r="AE57" s="2">
        <v>32</v>
      </c>
      <c r="AF57" s="2">
        <v>16</v>
      </c>
      <c r="AG57" s="2" t="str">
        <f>TEXT(19.9, "#,##0.0")</f>
        <v>19.9</v>
      </c>
      <c r="AH57" s="2" t="str">
        <f>TEXT(13.1, "#,##0.0")</f>
        <v>13.1</v>
      </c>
      <c r="AI57" s="2">
        <v>36</v>
      </c>
      <c r="AJ57" s="2">
        <v>2</v>
      </c>
      <c r="AK57" s="2">
        <v>11</v>
      </c>
    </row>
    <row r="58" spans="1:37">
      <c r="A58" s="60" t="s">
        <v>142</v>
      </c>
      <c r="B58" s="60" t="s">
        <v>143</v>
      </c>
      <c r="C58" s="57">
        <f>_xll.MSNStockQuote.Functions.MSNStockQuote($A58,"ask Price","US")</f>
        <v>69.739997863769503</v>
      </c>
      <c r="D58" s="52">
        <v>65</v>
      </c>
      <c r="E58" s="53" t="str">
        <f t="shared" si="9"/>
        <v>65.0</v>
      </c>
      <c r="F58" s="54">
        <v>1</v>
      </c>
      <c r="G58" s="54">
        <v>11</v>
      </c>
      <c r="H58" s="55" t="str">
        <f t="shared" si="10"/>
        <v>\11A22\</v>
      </c>
      <c r="I58" s="56" t="str">
        <f t="shared" si="11"/>
        <v>.EL\11A22\65.0</v>
      </c>
      <c r="J58" s="57">
        <f>_xll.MSNStockQuote.Functions.MSNStockQuote($I58,"Bid Price","US")</f>
        <v>0</v>
      </c>
      <c r="K58" s="55">
        <f t="shared" ca="1" si="12"/>
        <v>186.45289317129937</v>
      </c>
      <c r="L58" s="57">
        <f t="shared" si="13"/>
        <v>69.739997863769503</v>
      </c>
      <c r="M58" s="58">
        <f t="shared" si="14"/>
        <v>0</v>
      </c>
      <c r="N58" s="57">
        <f t="shared" si="15"/>
        <v>-4.7399978637695028</v>
      </c>
      <c r="O58" s="59">
        <f t="shared" si="16"/>
        <v>-6.7966705032435487E-2</v>
      </c>
      <c r="P58" s="59">
        <f t="shared" ca="1" si="17"/>
        <v>-0.13305155481844577</v>
      </c>
      <c r="Q58" s="2" t="str">
        <f>TEXT(1.58, "#,##0.00")</f>
        <v>1.58</v>
      </c>
      <c r="R58" s="2" t="str">
        <f>TEXT(2.5, "#,##0.0")</f>
        <v>2.5</v>
      </c>
      <c r="S58" s="2" t="str">
        <f>TEXT(-12.82, "#,##0.00")</f>
        <v>-12.82</v>
      </c>
      <c r="T58" s="2">
        <v>1742</v>
      </c>
      <c r="U58" s="2" t="str">
        <f>TEXT(-19.4, "#,##0.0")</f>
        <v>-19.4</v>
      </c>
      <c r="V58" s="2">
        <v>90</v>
      </c>
      <c r="W58" s="2">
        <v>92</v>
      </c>
      <c r="X58" s="2">
        <v>92</v>
      </c>
      <c r="Y58" s="2" t="s">
        <v>35</v>
      </c>
      <c r="Z58" s="2" t="s">
        <v>85</v>
      </c>
      <c r="AA58" s="2" t="s">
        <v>27</v>
      </c>
      <c r="AB58" s="2">
        <v>113</v>
      </c>
      <c r="AC58" s="2">
        <v>60</v>
      </c>
      <c r="AD58" s="2">
        <v>50</v>
      </c>
      <c r="AE58" s="2">
        <v>94</v>
      </c>
      <c r="AF58" s="2">
        <v>10</v>
      </c>
      <c r="AG58" s="2" t="str">
        <f>TEXT(17, "#,##0.0")</f>
        <v>17.0</v>
      </c>
      <c r="AH58" s="2" t="str">
        <f>TEXT(5.9, "#,##0.0")</f>
        <v>5.9</v>
      </c>
      <c r="AI58" s="2">
        <v>6</v>
      </c>
      <c r="AJ58" s="2">
        <v>2</v>
      </c>
      <c r="AK58" s="2">
        <v>67</v>
      </c>
    </row>
    <row r="59" spans="1:37">
      <c r="A59" s="60" t="s">
        <v>114</v>
      </c>
      <c r="B59" s="60" t="s">
        <v>115</v>
      </c>
      <c r="C59" s="57">
        <f>_xll.MSNStockQuote.Functions.MSNStockQuote($A59,"ask Price","US")</f>
        <v>68.25</v>
      </c>
      <c r="D59" s="52">
        <v>65</v>
      </c>
      <c r="E59" s="53" t="str">
        <f t="shared" si="9"/>
        <v>65.0</v>
      </c>
      <c r="F59" s="54">
        <v>12</v>
      </c>
      <c r="G59" s="54">
        <v>10</v>
      </c>
      <c r="H59" s="55" t="str">
        <f t="shared" si="10"/>
        <v>\10L18\</v>
      </c>
      <c r="I59" s="56" t="str">
        <f t="shared" si="11"/>
        <v>.DLB\10L18\65.0</v>
      </c>
      <c r="J59" s="57">
        <f>_xll.MSNStockQuote.Functions.MSNStockQuote($I59,"Bid Price","US")</f>
        <v>0</v>
      </c>
      <c r="K59" s="55">
        <f t="shared" ca="1" si="12"/>
        <v>151.45289317129937</v>
      </c>
      <c r="L59" s="57">
        <f t="shared" si="13"/>
        <v>68.25</v>
      </c>
      <c r="M59" s="58">
        <f t="shared" si="14"/>
        <v>0</v>
      </c>
      <c r="N59" s="57">
        <f t="shared" si="15"/>
        <v>-3.25</v>
      </c>
      <c r="O59" s="59">
        <f t="shared" si="16"/>
        <v>-4.7619047619047616E-2</v>
      </c>
      <c r="P59" s="59">
        <f t="shared" ca="1" si="17"/>
        <v>-0.11476144177248446</v>
      </c>
      <c r="Q59" s="4" t="str">
        <f>TEXT(1.69, "#,##0.00")</f>
        <v>1.69</v>
      </c>
      <c r="R59" s="4" t="str">
        <f>TEXT(2.6, "#,##0.0")</f>
        <v>2.6</v>
      </c>
      <c r="S59" s="4" t="str">
        <f>TEXT(-6.78, "#,##0.00")</f>
        <v>-6.78</v>
      </c>
      <c r="T59" s="4">
        <v>687</v>
      </c>
      <c r="U59" s="4" t="str">
        <f>TEXT(10.6, "#,##0.0")</f>
        <v>10.6</v>
      </c>
      <c r="V59" s="4">
        <v>95</v>
      </c>
      <c r="W59" s="4">
        <v>91</v>
      </c>
      <c r="X59" s="4">
        <v>93</v>
      </c>
      <c r="Y59" s="4" t="s">
        <v>26</v>
      </c>
      <c r="Z59" s="4" t="s">
        <v>61</v>
      </c>
      <c r="AA59" s="4" t="s">
        <v>85</v>
      </c>
      <c r="AB59" s="4">
        <v>21</v>
      </c>
      <c r="AC59" s="4">
        <v>5</v>
      </c>
      <c r="AD59" s="4">
        <v>14</v>
      </c>
      <c r="AE59" s="4">
        <v>11</v>
      </c>
      <c r="AF59" s="4">
        <v>19</v>
      </c>
      <c r="AG59" s="4" t="str">
        <f>TEXT(20.2, "#,##0.0")</f>
        <v>20.2</v>
      </c>
      <c r="AH59" s="4" t="str">
        <f>TEXT(51.4, "#,##0.0")</f>
        <v>51.4</v>
      </c>
      <c r="AI59" s="4">
        <v>1</v>
      </c>
      <c r="AJ59" s="4">
        <v>1</v>
      </c>
      <c r="AK59" s="4">
        <v>46</v>
      </c>
    </row>
    <row r="60" spans="1:37">
      <c r="A60" s="60" t="s">
        <v>132</v>
      </c>
      <c r="B60" s="60" t="s">
        <v>133</v>
      </c>
      <c r="C60" s="57">
        <f>_xll.MSNStockQuote.Functions.MSNStockQuote($A60,"ask Price","US")</f>
        <v>39</v>
      </c>
      <c r="D60" s="52">
        <v>35</v>
      </c>
      <c r="E60" s="53" t="str">
        <f t="shared" si="9"/>
        <v>35.0</v>
      </c>
      <c r="F60" s="54">
        <v>1</v>
      </c>
      <c r="G60" s="54">
        <v>11</v>
      </c>
      <c r="H60" s="55" t="str">
        <f t="shared" si="10"/>
        <v>\11A22\</v>
      </c>
      <c r="I60" s="56" t="str">
        <f t="shared" si="11"/>
        <v>.DISCA\11A22\35.0</v>
      </c>
      <c r="J60" s="57">
        <f>_xll.MSNStockQuote.Functions.MSNStockQuote($I60,"Bid Price","US")</f>
        <v>0</v>
      </c>
      <c r="K60" s="55">
        <f t="shared" ca="1" si="12"/>
        <v>186.45289317129937</v>
      </c>
      <c r="L60" s="57">
        <f t="shared" si="13"/>
        <v>39</v>
      </c>
      <c r="M60" s="58">
        <f t="shared" si="14"/>
        <v>0</v>
      </c>
      <c r="N60" s="57">
        <f t="shared" si="15"/>
        <v>-4</v>
      </c>
      <c r="O60" s="59">
        <f t="shared" si="16"/>
        <v>-0.10256410256410256</v>
      </c>
      <c r="P60" s="59">
        <f t="shared" ca="1" si="17"/>
        <v>-0.20077938614502513</v>
      </c>
      <c r="Q60" s="2" t="str">
        <f>TEXT(0.66, "#,##0.00")</f>
        <v>0.66</v>
      </c>
      <c r="R60" s="2" t="str">
        <f>TEXT(1.8, "#,##0.0")</f>
        <v>1.8</v>
      </c>
      <c r="S60" s="2" t="str">
        <f>TEXT(-10.44, "#,##0.00")</f>
        <v>-10.44</v>
      </c>
      <c r="T60" s="2">
        <v>2385</v>
      </c>
      <c r="U60" s="2" t="str">
        <f>TEXT(-19.4, "#,##0.0")</f>
        <v>-19.4</v>
      </c>
      <c r="V60" s="2">
        <v>93</v>
      </c>
      <c r="W60" s="2">
        <v>97</v>
      </c>
      <c r="X60" s="2">
        <v>84</v>
      </c>
      <c r="Y60" s="2" t="s">
        <v>35</v>
      </c>
      <c r="Z60" s="2" t="s">
        <v>37</v>
      </c>
      <c r="AA60" s="2" t="s">
        <v>38</v>
      </c>
      <c r="AB60" s="2">
        <v>39</v>
      </c>
      <c r="AC60" s="2">
        <v>40</v>
      </c>
      <c r="AD60" s="2">
        <v>43</v>
      </c>
      <c r="AE60" s="2">
        <v>49</v>
      </c>
      <c r="AF60" s="2">
        <v>8</v>
      </c>
      <c r="AG60" s="2" t="str">
        <f>TEXT(8.5, "#,##0.0")</f>
        <v>8.5</v>
      </c>
      <c r="AH60" s="2" t="str">
        <f>TEXT(22.1, "#,##0.0")</f>
        <v>22.1</v>
      </c>
      <c r="AI60" s="2">
        <v>2</v>
      </c>
      <c r="AJ60" s="2">
        <v>3</v>
      </c>
      <c r="AK60" s="2">
        <v>61</v>
      </c>
    </row>
    <row r="61" spans="1:37">
      <c r="A61" s="60" t="s">
        <v>172</v>
      </c>
      <c r="B61" s="60" t="s">
        <v>173</v>
      </c>
      <c r="C61" s="57">
        <f>_xll.MSNStockQuote.Functions.MSNStockQuote($A61,"ask Price","US")</f>
        <v>44.25</v>
      </c>
      <c r="D61" s="52">
        <v>45</v>
      </c>
      <c r="E61" s="53" t="str">
        <f t="shared" si="9"/>
        <v>45.0</v>
      </c>
      <c r="F61" s="54">
        <v>1</v>
      </c>
      <c r="G61" s="54">
        <v>11</v>
      </c>
      <c r="H61" s="55" t="str">
        <f t="shared" si="10"/>
        <v>\11A22\</v>
      </c>
      <c r="I61" s="56" t="str">
        <f t="shared" si="11"/>
        <v>.AMT\11A22\45.0</v>
      </c>
      <c r="J61" s="57">
        <f>_xll.MSNStockQuote.Functions.MSNStockQuote($I61,"Bid Price","US")</f>
        <v>0</v>
      </c>
      <c r="K61" s="55">
        <f t="shared" ca="1" si="12"/>
        <v>186.45289317129937</v>
      </c>
      <c r="L61" s="57">
        <f t="shared" si="13"/>
        <v>44.25</v>
      </c>
      <c r="M61" s="58">
        <f t="shared" si="14"/>
        <v>0</v>
      </c>
      <c r="N61" s="57">
        <f t="shared" si="15"/>
        <v>0</v>
      </c>
      <c r="O61" s="59">
        <f t="shared" si="16"/>
        <v>0</v>
      </c>
      <c r="P61" s="59">
        <f t="shared" ca="1" si="17"/>
        <v>0</v>
      </c>
      <c r="Q61" s="4" t="str">
        <f>TEXT(0.28, "#,##0.00")</f>
        <v>0.28</v>
      </c>
      <c r="R61" s="4" t="str">
        <f>TEXT(0.6, "#,##0.0")</f>
        <v>0.6</v>
      </c>
      <c r="S61" s="4" t="str">
        <f>TEXT(-4, "#,##0.00")</f>
        <v>-4.00</v>
      </c>
      <c r="T61" s="4">
        <v>3392</v>
      </c>
      <c r="U61" s="4" t="str">
        <f>TEXT(-26.1, "#,##0.0")</f>
        <v>-26.1</v>
      </c>
      <c r="V61" s="4">
        <v>93</v>
      </c>
      <c r="W61" s="4">
        <v>93</v>
      </c>
      <c r="X61" s="4">
        <v>84</v>
      </c>
      <c r="Y61" s="4" t="s">
        <v>26</v>
      </c>
      <c r="Z61" s="4" t="s">
        <v>35</v>
      </c>
      <c r="AA61" s="4" t="s">
        <v>37</v>
      </c>
      <c r="AB61" s="4">
        <v>71</v>
      </c>
      <c r="AC61" s="4">
        <v>0</v>
      </c>
      <c r="AD61" s="4">
        <v>54</v>
      </c>
      <c r="AE61" s="4">
        <v>46</v>
      </c>
      <c r="AF61" s="4">
        <v>11</v>
      </c>
      <c r="AG61" s="4" t="str">
        <f>TEXT(7.6, "#,##0.0")</f>
        <v>7.6</v>
      </c>
      <c r="AH61" s="4" t="str">
        <f>TEXT(24.4, "#,##0.0")</f>
        <v>24.4</v>
      </c>
      <c r="AI61" s="4">
        <v>1</v>
      </c>
      <c r="AJ61" s="4">
        <v>0</v>
      </c>
      <c r="AK61" s="4">
        <v>86</v>
      </c>
    </row>
    <row r="62" spans="1:37">
      <c r="A62" s="60" t="s">
        <v>96</v>
      </c>
      <c r="B62" s="60" t="s">
        <v>97</v>
      </c>
      <c r="C62" s="57">
        <f>_xll.MSNStockQuote.Functions.MSNStockQuote($A62,"ask Price","US")</f>
        <v>117.080001831055</v>
      </c>
      <c r="D62" s="52">
        <v>105</v>
      </c>
      <c r="E62" s="53" t="str">
        <f t="shared" si="9"/>
        <v>105.0</v>
      </c>
      <c r="F62" s="54">
        <v>1</v>
      </c>
      <c r="G62" s="54">
        <v>11</v>
      </c>
      <c r="H62" s="55" t="str">
        <f t="shared" si="10"/>
        <v>\11A22\</v>
      </c>
      <c r="I62" s="56" t="str">
        <f t="shared" si="11"/>
        <v>.ABV\11A22\105.0</v>
      </c>
      <c r="J62" s="57">
        <f>_xll.MSNStockQuote.Functions.MSNStockQuote($I62,"Bid Price","US")</f>
        <v>0</v>
      </c>
      <c r="K62" s="55">
        <f t="shared" ca="1" si="12"/>
        <v>186.45289317129937</v>
      </c>
      <c r="L62" s="57">
        <f t="shared" si="13"/>
        <v>117.080001831055</v>
      </c>
      <c r="M62" s="58">
        <f t="shared" si="14"/>
        <v>0</v>
      </c>
      <c r="N62" s="57">
        <f t="shared" si="15"/>
        <v>-12.080001831055</v>
      </c>
      <c r="O62" s="59">
        <f t="shared" si="16"/>
        <v>-0.10317732868236792</v>
      </c>
      <c r="P62" s="59">
        <f t="shared" ca="1" si="17"/>
        <v>-0.20197983699006095</v>
      </c>
      <c r="Q62" s="4" t="str">
        <f>TEXT(0.69, "#,##0.00")</f>
        <v>0.69</v>
      </c>
      <c r="R62" s="4" t="str">
        <f>TEXT(0.7, "#,##0.0")</f>
        <v>0.7</v>
      </c>
      <c r="S62" s="4" t="str">
        <f>TEXT(-4.07, "#,##0.00")</f>
        <v>-4.07</v>
      </c>
      <c r="T62" s="4">
        <v>627</v>
      </c>
      <c r="U62" s="4" t="str">
        <f>TEXT(-15.9, "#,##0.0")</f>
        <v>-15.9</v>
      </c>
      <c r="V62" s="4">
        <v>98</v>
      </c>
      <c r="W62" s="4">
        <v>97</v>
      </c>
      <c r="X62" s="4">
        <v>87</v>
      </c>
      <c r="Y62" s="4" t="s">
        <v>26</v>
      </c>
      <c r="Z62" s="4" t="s">
        <v>85</v>
      </c>
      <c r="AA62" s="4" t="s">
        <v>38</v>
      </c>
      <c r="AB62" s="4">
        <v>61</v>
      </c>
      <c r="AC62" s="4">
        <v>36</v>
      </c>
      <c r="AD62" s="4">
        <v>36</v>
      </c>
      <c r="AE62" s="4">
        <v>27</v>
      </c>
      <c r="AF62" s="4">
        <v>40</v>
      </c>
      <c r="AG62" s="4" t="str">
        <f>TEXT(28.1, "#,##0.0")</f>
        <v>28.1</v>
      </c>
      <c r="AH62" s="4" t="str">
        <f>TEXT(31.5, "#,##0.0")</f>
        <v>31.5</v>
      </c>
      <c r="AI62" s="4">
        <v>0</v>
      </c>
      <c r="AJ62" s="4">
        <v>0</v>
      </c>
      <c r="AK62" s="4">
        <v>36</v>
      </c>
    </row>
    <row r="63" spans="1:37">
      <c r="A63" s="60" t="s">
        <v>150</v>
      </c>
      <c r="B63" s="60" t="s">
        <v>151</v>
      </c>
      <c r="C63" s="57">
        <f>_xll.MSNStockQuote.Functions.MSNStockQuote($A63,"ask Price","US")</f>
        <v>54.7299995422363</v>
      </c>
      <c r="D63" s="52">
        <v>55</v>
      </c>
      <c r="E63" s="53" t="str">
        <f t="shared" si="9"/>
        <v>55.0</v>
      </c>
      <c r="F63" s="54">
        <v>1</v>
      </c>
      <c r="G63" s="54">
        <v>11</v>
      </c>
      <c r="H63" s="55" t="str">
        <f t="shared" si="10"/>
        <v>\11A22\</v>
      </c>
      <c r="I63" s="56" t="str">
        <f t="shared" si="11"/>
        <v>.ROST\11A22\55.0</v>
      </c>
      <c r="J63" s="57">
        <f>_xll.MSNStockQuote.Functions.MSNStockQuote($I63,"Bid Price","US")</f>
        <v>0</v>
      </c>
      <c r="K63" s="55">
        <f t="shared" ca="1" si="12"/>
        <v>186.45289317129937</v>
      </c>
      <c r="L63" s="57">
        <f t="shared" si="13"/>
        <v>54.7299995422363</v>
      </c>
      <c r="M63" s="58">
        <f t="shared" si="14"/>
        <v>0</v>
      </c>
      <c r="N63" s="57">
        <f t="shared" si="15"/>
        <v>0</v>
      </c>
      <c r="O63" s="59">
        <f t="shared" si="16"/>
        <v>0</v>
      </c>
      <c r="P63" s="59">
        <f t="shared" ca="1" si="17"/>
        <v>0</v>
      </c>
      <c r="Q63" s="2" t="str">
        <f>TEXT(0.55, "#,##0.00")</f>
        <v>0.55</v>
      </c>
      <c r="R63" s="2" t="str">
        <f>TEXT(1, "#,##0.0")</f>
        <v>1.0</v>
      </c>
      <c r="S63" s="2" t="str">
        <f>TEXT(-8.79, "#,##0.00")</f>
        <v>-8.79</v>
      </c>
      <c r="T63" s="2">
        <v>1443</v>
      </c>
      <c r="U63" s="2" t="str">
        <f>TEXT(-33.1, "#,##0.0")</f>
        <v>-33.1</v>
      </c>
      <c r="V63" s="2">
        <v>97</v>
      </c>
      <c r="W63" s="2">
        <v>98</v>
      </c>
      <c r="X63" s="2">
        <v>78</v>
      </c>
      <c r="Y63" s="2" t="s">
        <v>26</v>
      </c>
      <c r="Z63" s="2" t="s">
        <v>35</v>
      </c>
      <c r="AA63" s="2" t="s">
        <v>32</v>
      </c>
      <c r="AB63" s="2">
        <v>61</v>
      </c>
      <c r="AC63" s="2">
        <v>53</v>
      </c>
      <c r="AD63" s="2">
        <v>23</v>
      </c>
      <c r="AE63" s="2">
        <v>19</v>
      </c>
      <c r="AF63" s="2">
        <v>14</v>
      </c>
      <c r="AG63" s="2" t="str">
        <f>TEXT(41.1, "#,##0.0")</f>
        <v>41.1</v>
      </c>
      <c r="AH63" s="2" t="str">
        <f>TEXT(10, "#,##0.0")</f>
        <v>10.0</v>
      </c>
      <c r="AI63" s="2">
        <v>4</v>
      </c>
      <c r="AJ63" s="2">
        <v>0</v>
      </c>
      <c r="AK63" s="2">
        <v>73</v>
      </c>
    </row>
    <row r="64" spans="1:37">
      <c r="A64" s="60" t="s">
        <v>86</v>
      </c>
      <c r="B64" s="60" t="s">
        <v>87</v>
      </c>
      <c r="C64" s="57">
        <f>_xll.MSNStockQuote.Functions.MSNStockQuote($A64,"ask Price","US")</f>
        <v>2000</v>
      </c>
      <c r="D64" s="52">
        <v>40</v>
      </c>
      <c r="E64" s="53" t="str">
        <f t="shared" si="9"/>
        <v>40.0</v>
      </c>
      <c r="F64" s="54">
        <v>1</v>
      </c>
      <c r="G64" s="54">
        <v>11</v>
      </c>
      <c r="H64" s="55" t="str">
        <f t="shared" si="10"/>
        <v>\11A22\</v>
      </c>
      <c r="I64" s="56" t="str">
        <f t="shared" si="11"/>
        <v>.ROVI\11A22\40.0</v>
      </c>
      <c r="J64" s="57">
        <f>_xll.MSNStockQuote.Functions.MSNStockQuote($I64,"Bid Price","US")</f>
        <v>0</v>
      </c>
      <c r="K64" s="55">
        <f t="shared" ca="1" si="12"/>
        <v>186.45289317129937</v>
      </c>
      <c r="L64" s="57">
        <f t="shared" si="13"/>
        <v>2000</v>
      </c>
      <c r="M64" s="58">
        <f t="shared" si="14"/>
        <v>0</v>
      </c>
      <c r="N64" s="57">
        <f t="shared" si="15"/>
        <v>-1960</v>
      </c>
      <c r="O64" s="59">
        <f t="shared" si="16"/>
        <v>-0.98</v>
      </c>
      <c r="P64" s="59">
        <f t="shared" ca="1" si="17"/>
        <v>-1.918447034615715</v>
      </c>
      <c r="Q64" s="2" t="str">
        <f>TEXT(0.85, "#,##0.00")</f>
        <v>0.85</v>
      </c>
      <c r="R64" s="2" t="str">
        <f>TEXT(2, "#,##0.0")</f>
        <v>2.0</v>
      </c>
      <c r="S64" s="2" t="str">
        <f>TEXT(-1.59, "#,##0.00")</f>
        <v>-1.59</v>
      </c>
      <c r="T64" s="2">
        <v>1295</v>
      </c>
      <c r="U64" s="2" t="str">
        <f>TEXT(-12.3, "#,##0.0")</f>
        <v>-12.3</v>
      </c>
      <c r="V64" s="2">
        <v>99</v>
      </c>
      <c r="W64" s="2">
        <v>92</v>
      </c>
      <c r="X64" s="2">
        <v>93</v>
      </c>
      <c r="Y64" s="2" t="s">
        <v>26</v>
      </c>
      <c r="Z64" s="2" t="s">
        <v>32</v>
      </c>
      <c r="AA64" s="2" t="s">
        <v>36</v>
      </c>
      <c r="AB64" s="2">
        <v>45</v>
      </c>
      <c r="AC64" s="2">
        <v>56</v>
      </c>
      <c r="AD64" s="2">
        <v>24</v>
      </c>
      <c r="AE64" s="2">
        <v>31</v>
      </c>
      <c r="AF64" s="2">
        <v>17</v>
      </c>
      <c r="AG64" s="2" t="str">
        <f>TEXT(10.3, "#,##0.0")</f>
        <v>10.3</v>
      </c>
      <c r="AH64" s="2" t="str">
        <f>TEXT(36.3, "#,##0.0")</f>
        <v>36.3</v>
      </c>
      <c r="AI64" s="2">
        <v>2</v>
      </c>
      <c r="AJ64" s="2">
        <v>3</v>
      </c>
      <c r="AK64" s="2">
        <v>31</v>
      </c>
    </row>
    <row r="65" spans="1:37">
      <c r="A65" s="60" t="s">
        <v>52</v>
      </c>
      <c r="B65" s="60" t="s">
        <v>53</v>
      </c>
      <c r="C65" s="57">
        <f>_xll.MSNStockQuote.Functions.MSNStockQuote($A65,"ask Price","US")</f>
        <v>40.049999237060497</v>
      </c>
      <c r="D65" s="52">
        <v>40</v>
      </c>
      <c r="E65" s="53" t="str">
        <f t="shared" si="9"/>
        <v>40.0</v>
      </c>
      <c r="F65" s="54">
        <v>1</v>
      </c>
      <c r="G65" s="54">
        <v>11</v>
      </c>
      <c r="H65" s="55" t="str">
        <f t="shared" si="10"/>
        <v>\11A22\</v>
      </c>
      <c r="I65" s="56" t="str">
        <f t="shared" si="11"/>
        <v>.HAS\11A22\40.0</v>
      </c>
      <c r="J65" s="57">
        <f>_xll.MSNStockQuote.Functions.MSNStockQuote($I65,"Bid Price","US")</f>
        <v>0</v>
      </c>
      <c r="K65" s="55">
        <f t="shared" ca="1" si="12"/>
        <v>186.45289317129937</v>
      </c>
      <c r="L65" s="57">
        <f t="shared" si="13"/>
        <v>40.049999237060497</v>
      </c>
      <c r="M65" s="58">
        <f t="shared" si="14"/>
        <v>0</v>
      </c>
      <c r="N65" s="57">
        <f t="shared" si="15"/>
        <v>-4.9999237060497137E-2</v>
      </c>
      <c r="O65" s="59">
        <f t="shared" si="16"/>
        <v>-1.2484204247931684E-3</v>
      </c>
      <c r="P65" s="59">
        <f t="shared" ca="1" si="17"/>
        <v>-2.4439065937736175E-3</v>
      </c>
      <c r="Q65" s="4" t="str">
        <f>TEXT(0.4, "#,##0.00")</f>
        <v>0.40</v>
      </c>
      <c r="R65" s="4" t="str">
        <f>TEXT(1, "#,##0.0")</f>
        <v>1.0</v>
      </c>
      <c r="S65" s="4" t="str">
        <f>TEXT(-4.44, "#,##0.00")</f>
        <v>-4.44</v>
      </c>
      <c r="T65" s="4">
        <v>1479</v>
      </c>
      <c r="U65" s="4" t="str">
        <f>TEXT(-45.8, "#,##0.0")</f>
        <v>-45.8</v>
      </c>
      <c r="V65" s="4">
        <v>98</v>
      </c>
      <c r="W65" s="4">
        <v>98</v>
      </c>
      <c r="X65" s="4">
        <v>92</v>
      </c>
      <c r="Y65" s="4" t="s">
        <v>26</v>
      </c>
      <c r="Z65" s="4" t="s">
        <v>27</v>
      </c>
      <c r="AA65" s="4" t="s">
        <v>36</v>
      </c>
      <c r="AB65" s="4">
        <v>86</v>
      </c>
      <c r="AC65" s="4">
        <v>76</v>
      </c>
      <c r="AD65" s="4">
        <v>-8</v>
      </c>
      <c r="AE65" s="4">
        <v>4</v>
      </c>
      <c r="AF65" s="4">
        <v>8</v>
      </c>
      <c r="AG65" s="4" t="str">
        <f>TEXT(25.1, "#,##0.0")</f>
        <v>25.1</v>
      </c>
      <c r="AH65" s="4" t="str">
        <f>TEXT(13, "#,##0.0")</f>
        <v>13.0</v>
      </c>
      <c r="AI65" s="4">
        <v>14</v>
      </c>
      <c r="AJ65" s="4">
        <v>0</v>
      </c>
      <c r="AK65" s="4">
        <v>12</v>
      </c>
    </row>
    <row r="66" spans="1:37">
      <c r="A66" s="60" t="s">
        <v>98</v>
      </c>
      <c r="B66" s="60" t="s">
        <v>99</v>
      </c>
      <c r="C66" s="57">
        <f>_xll.MSNStockQuote.Functions.MSNStockQuote($A66,"ask Price","US")</f>
        <v>2000</v>
      </c>
      <c r="D66" s="52">
        <v>20</v>
      </c>
      <c r="E66" s="53" t="str">
        <f t="shared" ref="E66:E79" si="18">TEXT(D66,".0")</f>
        <v>20.0</v>
      </c>
      <c r="F66" s="54">
        <v>1</v>
      </c>
      <c r="G66" s="54">
        <v>11</v>
      </c>
      <c r="H66" s="55" t="str">
        <f t="shared" ref="H66:H79" si="19">VLOOKUP(F66,Options,VLOOKUP(G66,Offset,2))</f>
        <v>\11A22\</v>
      </c>
      <c r="I66" s="56" t="str">
        <f t="shared" ref="I66:I79" si="20">CONCATENATE(".",A66,H66,E66)</f>
        <v>.JOBS\11A22\20.0</v>
      </c>
      <c r="J66" s="57">
        <f>_xll.MSNStockQuote.Functions.MSNStockQuote($I66,"Bid Price","US")</f>
        <v>0</v>
      </c>
      <c r="K66" s="55">
        <f t="shared" ref="K66:K79" ca="1" si="21">VLOOKUP(F66,Duration,VLOOKUP(G66,Offset,2))-NOW()</f>
        <v>186.45289317129937</v>
      </c>
      <c r="L66" s="57">
        <f t="shared" ref="L66:L79" si="22">C66-J66</f>
        <v>2000</v>
      </c>
      <c r="M66" s="58">
        <f t="shared" ref="M66:M79" si="23">J66/C66</f>
        <v>0</v>
      </c>
      <c r="N66" s="57">
        <f t="shared" ref="N66:N79" si="24">IF(C66&gt;D66,(D66-C66)+J66,J66)</f>
        <v>-1980</v>
      </c>
      <c r="O66" s="59">
        <f t="shared" ref="O66:O79" si="25">N66/L66</f>
        <v>-0.99</v>
      </c>
      <c r="P66" s="59">
        <f t="shared" ref="P66:P79" ca="1" si="26">O66*(365/K66)</f>
        <v>-1.9380230247648551</v>
      </c>
      <c r="Q66" s="2" t="str">
        <f>TEXT(0.26, "#,##0.00")</f>
        <v>0.26</v>
      </c>
      <c r="R66" s="2" t="str">
        <f>TEXT(1.3, "#,##0.0")</f>
        <v>1.3</v>
      </c>
      <c r="S66" s="2" t="str">
        <f>TEXT(-12.49, "#,##0.00")</f>
        <v>-12.49</v>
      </c>
      <c r="T66" s="2">
        <v>20</v>
      </c>
      <c r="U66" s="2" t="str">
        <f>TEXT(-57.2, "#,##0.0")</f>
        <v>-57.2</v>
      </c>
      <c r="V66" s="2">
        <v>91</v>
      </c>
      <c r="W66" s="2">
        <v>96</v>
      </c>
      <c r="X66" s="2">
        <v>90</v>
      </c>
      <c r="Y66" s="2" t="s">
        <v>26</v>
      </c>
      <c r="Z66" s="2" t="s">
        <v>61</v>
      </c>
      <c r="AA66" s="2" t="s">
        <v>56</v>
      </c>
      <c r="AB66" s="2">
        <v>233</v>
      </c>
      <c r="AC66" s="2">
        <v>300</v>
      </c>
      <c r="AD66" s="2" t="s">
        <v>39</v>
      </c>
      <c r="AE66" s="2">
        <v>44</v>
      </c>
      <c r="AF66" s="2">
        <v>43</v>
      </c>
      <c r="AG66" s="2" t="str">
        <f>TEXT(11, "#,##0.0")</f>
        <v>11.0</v>
      </c>
      <c r="AH66" s="2" t="str">
        <f>TEXT(22.2, "#,##0.0")</f>
        <v>22.2</v>
      </c>
      <c r="AI66" s="2">
        <v>0</v>
      </c>
      <c r="AJ66" s="2">
        <v>0</v>
      </c>
      <c r="AK66" s="2">
        <v>37</v>
      </c>
    </row>
    <row r="67" spans="1:37">
      <c r="A67" s="60" t="s">
        <v>174</v>
      </c>
      <c r="B67" s="60" t="s">
        <v>175</v>
      </c>
      <c r="C67" s="57">
        <f>_xll.MSNStockQuote.Functions.MSNStockQuote($A67,"ask Price","US")</f>
        <v>2000</v>
      </c>
      <c r="D67" s="52">
        <v>20</v>
      </c>
      <c r="E67" s="53" t="str">
        <f t="shared" si="18"/>
        <v>20.0</v>
      </c>
      <c r="F67" s="54">
        <v>12</v>
      </c>
      <c r="G67" s="54">
        <v>10</v>
      </c>
      <c r="H67" s="55" t="str">
        <f t="shared" si="19"/>
        <v>\10L18\</v>
      </c>
      <c r="I67" s="56" t="str">
        <f t="shared" si="20"/>
        <v>.SVR\10L18\20.0</v>
      </c>
      <c r="J67" s="57">
        <f>_xll.MSNStockQuote.Functions.MSNStockQuote($I67,"Bid Price","US")</f>
        <v>0</v>
      </c>
      <c r="K67" s="55">
        <f t="shared" ca="1" si="21"/>
        <v>151.45289317129937</v>
      </c>
      <c r="L67" s="57">
        <f t="shared" si="22"/>
        <v>2000</v>
      </c>
      <c r="M67" s="58">
        <f t="shared" si="23"/>
        <v>0</v>
      </c>
      <c r="N67" s="57">
        <f t="shared" si="24"/>
        <v>-1980</v>
      </c>
      <c r="O67" s="59">
        <f t="shared" si="25"/>
        <v>-0.99</v>
      </c>
      <c r="P67" s="59">
        <f t="shared" ca="1" si="26"/>
        <v>-2.3858903744499518</v>
      </c>
      <c r="Q67" s="2" t="str">
        <f>TEXT(1.26, "#,##0.00")</f>
        <v>1.26</v>
      </c>
      <c r="R67" s="2" t="str">
        <f>TEXT(5.9, "#,##0.0")</f>
        <v>5.9</v>
      </c>
      <c r="S67" s="2" t="str">
        <f>TEXT(-2.98, "#,##0.00")</f>
        <v>-2.98</v>
      </c>
      <c r="T67" s="2">
        <v>2068</v>
      </c>
      <c r="U67" s="2" t="str">
        <f>TEXT(206.1, "#,##0.0")</f>
        <v>206.1</v>
      </c>
      <c r="V67" s="2">
        <v>95</v>
      </c>
      <c r="W67" s="2">
        <v>93</v>
      </c>
      <c r="X67" s="2">
        <v>83</v>
      </c>
      <c r="Y67" s="2" t="s">
        <v>26</v>
      </c>
      <c r="Z67" s="2" t="s">
        <v>35</v>
      </c>
      <c r="AA67" s="2" t="s">
        <v>37</v>
      </c>
      <c r="AB67" s="2">
        <v>32</v>
      </c>
      <c r="AC67" s="2">
        <v>19</v>
      </c>
      <c r="AD67" s="2">
        <v>35</v>
      </c>
      <c r="AE67" s="2">
        <v>29</v>
      </c>
      <c r="AF67" s="2">
        <v>37</v>
      </c>
      <c r="AG67" s="2" t="str">
        <f>TEXT(17.2, "#,##0.0")</f>
        <v>17.2</v>
      </c>
      <c r="AH67" s="2" t="str">
        <f>TEXT(32.7, "#,##0.0")</f>
        <v>32.7</v>
      </c>
      <c r="AI67" s="2">
        <v>2</v>
      </c>
      <c r="AJ67" s="2">
        <v>0</v>
      </c>
      <c r="AK67" s="2">
        <v>87</v>
      </c>
    </row>
    <row r="68" spans="1:37">
      <c r="A68" s="60" t="s">
        <v>112</v>
      </c>
      <c r="B68" s="60" t="s">
        <v>113</v>
      </c>
      <c r="C68" s="57">
        <f>_xll.MSNStockQuote.Functions.MSNStockQuote($A68,"ask Price","US")</f>
        <v>28.110000610351602</v>
      </c>
      <c r="D68" s="52">
        <v>30</v>
      </c>
      <c r="E68" s="53" t="str">
        <f t="shared" si="18"/>
        <v>30.0</v>
      </c>
      <c r="F68" s="54">
        <v>12</v>
      </c>
      <c r="G68" s="54">
        <v>10</v>
      </c>
      <c r="H68" s="55" t="str">
        <f t="shared" si="19"/>
        <v>\10L18\</v>
      </c>
      <c r="I68" s="56" t="str">
        <f t="shared" si="20"/>
        <v>.ALTR\10L18\30.0</v>
      </c>
      <c r="J68" s="57">
        <f>_xll.MSNStockQuote.Functions.MSNStockQuote($I68,"Bid Price","US")</f>
        <v>0</v>
      </c>
      <c r="K68" s="55">
        <f t="shared" ca="1" si="21"/>
        <v>151.45289317129937</v>
      </c>
      <c r="L68" s="57">
        <f t="shared" si="22"/>
        <v>28.110000610351602</v>
      </c>
      <c r="M68" s="58">
        <f t="shared" si="23"/>
        <v>0</v>
      </c>
      <c r="N68" s="57">
        <f t="shared" si="24"/>
        <v>0</v>
      </c>
      <c r="O68" s="59">
        <f t="shared" si="25"/>
        <v>0</v>
      </c>
      <c r="P68" s="59">
        <f t="shared" ca="1" si="26"/>
        <v>0</v>
      </c>
      <c r="Q68" s="2" t="str">
        <f>TEXT(0.65, "#,##0.00")</f>
        <v>0.65</v>
      </c>
      <c r="R68" s="2" t="str">
        <f>TEXT(2.3, "#,##0.0")</f>
        <v>2.3</v>
      </c>
      <c r="S68" s="2" t="str">
        <f>TEXT(0.65, "#,##0.00")</f>
        <v>0.65</v>
      </c>
      <c r="T68" s="2">
        <v>9705</v>
      </c>
      <c r="U68" s="2" t="str">
        <f>TEXT(9.4, "#,##0.0")</f>
        <v>9.4</v>
      </c>
      <c r="V68" s="2">
        <v>99</v>
      </c>
      <c r="W68" s="2">
        <v>92</v>
      </c>
      <c r="X68" s="2">
        <v>90</v>
      </c>
      <c r="Y68" s="2" t="s">
        <v>26</v>
      </c>
      <c r="Z68" s="2" t="s">
        <v>38</v>
      </c>
      <c r="AA68" s="2" t="s">
        <v>36</v>
      </c>
      <c r="AB68" s="2">
        <v>194</v>
      </c>
      <c r="AC68" s="2">
        <v>21</v>
      </c>
      <c r="AD68" s="2">
        <v>165</v>
      </c>
      <c r="AE68" s="2">
        <v>120</v>
      </c>
      <c r="AF68" s="2">
        <v>52</v>
      </c>
      <c r="AG68" s="2" t="str">
        <f>TEXT(28.5, "#,##0.0")</f>
        <v>28.5</v>
      </c>
      <c r="AH68" s="2" t="str">
        <f>TEXT(26, "#,##0.0")</f>
        <v>26.0</v>
      </c>
      <c r="AI68" s="2">
        <v>0</v>
      </c>
      <c r="AJ68" s="2">
        <v>1</v>
      </c>
      <c r="AK68" s="2">
        <v>45</v>
      </c>
    </row>
    <row r="69" spans="1:37">
      <c r="A69" s="60" t="s">
        <v>94</v>
      </c>
      <c r="B69" s="60" t="s">
        <v>95</v>
      </c>
      <c r="C69" s="57">
        <f>_xll.MSNStockQuote.Functions.MSNStockQuote($A69,"ask Price","US")</f>
        <v>82.620002746582003</v>
      </c>
      <c r="D69" s="52">
        <v>75</v>
      </c>
      <c r="E69" s="53" t="str">
        <f t="shared" si="18"/>
        <v>75.0</v>
      </c>
      <c r="F69" s="54">
        <v>1</v>
      </c>
      <c r="G69" s="54">
        <v>11</v>
      </c>
      <c r="H69" s="55" t="str">
        <f t="shared" si="19"/>
        <v>\11A22\</v>
      </c>
      <c r="I69" s="56" t="str">
        <f t="shared" si="20"/>
        <v>.SAN\11A22\75.0</v>
      </c>
      <c r="J69" s="57">
        <f>_xll.MSNStockQuote.Functions.MSNStockQuote($I69,"Bid Price","US")</f>
        <v>0</v>
      </c>
      <c r="K69" s="55">
        <f t="shared" ca="1" si="21"/>
        <v>186.45289317129937</v>
      </c>
      <c r="L69" s="57">
        <f t="shared" si="22"/>
        <v>82.620002746582003</v>
      </c>
      <c r="M69" s="58">
        <f t="shared" si="23"/>
        <v>0</v>
      </c>
      <c r="N69" s="57">
        <f t="shared" si="24"/>
        <v>-7.6200027465820028</v>
      </c>
      <c r="O69" s="59">
        <f t="shared" si="25"/>
        <v>-9.2229514563859569E-2</v>
      </c>
      <c r="P69" s="59">
        <f t="shared" ca="1" si="26"/>
        <v>-0.18054840685620746</v>
      </c>
      <c r="Q69" s="2" t="str">
        <f>TEXT(3.16, "#,##0.00")</f>
        <v>3.16</v>
      </c>
      <c r="R69" s="2" t="str">
        <f>TEXT(4.3, "#,##0.0")</f>
        <v>4.3</v>
      </c>
      <c r="S69" s="2" t="str">
        <f>TEXT(-2.39, "#,##0.00")</f>
        <v>-2.39</v>
      </c>
      <c r="T69" s="2">
        <v>149</v>
      </c>
      <c r="U69" s="2" t="str">
        <f>TEXT(-16.7, "#,##0.0")</f>
        <v>-16.7</v>
      </c>
      <c r="V69" s="2">
        <v>97</v>
      </c>
      <c r="W69" s="2">
        <v>98</v>
      </c>
      <c r="X69" s="2">
        <v>87</v>
      </c>
      <c r="Y69" s="2" t="s">
        <v>35</v>
      </c>
      <c r="Z69" s="2" t="s">
        <v>38</v>
      </c>
      <c r="AA69" s="2" t="s">
        <v>38</v>
      </c>
      <c r="AB69" s="2">
        <v>71</v>
      </c>
      <c r="AC69" s="2">
        <v>84</v>
      </c>
      <c r="AD69" s="2">
        <v>5</v>
      </c>
      <c r="AE69" s="2">
        <v>12</v>
      </c>
      <c r="AF69" s="2">
        <v>23</v>
      </c>
      <c r="AG69" s="2" t="str">
        <f>TEXT(28.4, "#,##0.0")</f>
        <v>28.4</v>
      </c>
      <c r="AH69" s="2" t="str">
        <f>TEXT(17.6, "#,##0.0")</f>
        <v>17.6</v>
      </c>
      <c r="AI69" s="2">
        <v>1</v>
      </c>
      <c r="AJ69" s="2">
        <v>0</v>
      </c>
      <c r="AK69" s="2">
        <v>35</v>
      </c>
    </row>
    <row r="70" spans="1:37">
      <c r="A70" s="60" t="s">
        <v>140</v>
      </c>
      <c r="B70" s="60" t="s">
        <v>141</v>
      </c>
      <c r="C70" s="57">
        <f>_xll.MSNStockQuote.Functions.MSNStockQuote($A70,"ask Price","US")</f>
        <v>205</v>
      </c>
      <c r="D70" s="52">
        <v>200</v>
      </c>
      <c r="E70" s="53" t="str">
        <f t="shared" si="18"/>
        <v>200.0</v>
      </c>
      <c r="F70" s="54">
        <v>12</v>
      </c>
      <c r="G70" s="54">
        <v>10</v>
      </c>
      <c r="H70" s="55" t="str">
        <f t="shared" si="19"/>
        <v>\10L18\</v>
      </c>
      <c r="I70" s="56" t="str">
        <f t="shared" si="20"/>
        <v>.AZO\10L18\200.0</v>
      </c>
      <c r="J70" s="57">
        <f>_xll.MSNStockQuote.Functions.MSNStockQuote($I70,"Bid Price","US")</f>
        <v>0</v>
      </c>
      <c r="K70" s="55">
        <f t="shared" ca="1" si="21"/>
        <v>151.45289317129937</v>
      </c>
      <c r="L70" s="57">
        <f t="shared" si="22"/>
        <v>205</v>
      </c>
      <c r="M70" s="58">
        <f t="shared" si="23"/>
        <v>0</v>
      </c>
      <c r="N70" s="57">
        <f t="shared" si="24"/>
        <v>-5</v>
      </c>
      <c r="O70" s="59">
        <f t="shared" si="25"/>
        <v>-2.4390243902439025E-2</v>
      </c>
      <c r="P70" s="59">
        <f t="shared" ca="1" si="26"/>
        <v>-5.8780250663955459E-2</v>
      </c>
      <c r="Q70" s="4" t="str">
        <f>TEXT(2.74, "#,##0.00")</f>
        <v>2.74</v>
      </c>
      <c r="R70" s="4" t="str">
        <f>TEXT(1.4, "#,##0.0")</f>
        <v>1.4</v>
      </c>
      <c r="S70" s="4" t="str">
        <f>TEXT(0.97, "#,##0.00")</f>
        <v>0.97</v>
      </c>
      <c r="T70" s="4">
        <v>608</v>
      </c>
      <c r="U70" s="4" t="str">
        <f>TEXT(-8.1, "#,##0.0")</f>
        <v>-8.1</v>
      </c>
      <c r="V70" s="4">
        <v>98</v>
      </c>
      <c r="W70" s="4">
        <v>92</v>
      </c>
      <c r="X70" s="4">
        <v>88</v>
      </c>
      <c r="Y70" s="4" t="s">
        <v>26</v>
      </c>
      <c r="Z70" s="4" t="s">
        <v>38</v>
      </c>
      <c r="AA70" s="4" t="s">
        <v>36</v>
      </c>
      <c r="AB70" s="4">
        <v>32</v>
      </c>
      <c r="AC70" s="4">
        <v>21</v>
      </c>
      <c r="AD70" s="4">
        <v>21</v>
      </c>
      <c r="AE70" s="4">
        <v>25</v>
      </c>
      <c r="AF70" s="4">
        <v>10</v>
      </c>
      <c r="AG70" s="4" t="s">
        <v>39</v>
      </c>
      <c r="AH70" s="4" t="str">
        <f>TEXT(15.2, "#,##0.0")</f>
        <v>15.2</v>
      </c>
      <c r="AI70" s="4">
        <v>3</v>
      </c>
      <c r="AJ70" s="4">
        <v>0</v>
      </c>
      <c r="AK70" s="4">
        <v>66</v>
      </c>
    </row>
    <row r="71" spans="1:37">
      <c r="A71" s="60" t="s">
        <v>144</v>
      </c>
      <c r="B71" s="60" t="s">
        <v>145</v>
      </c>
      <c r="C71" s="57">
        <f>_xll.MSNStockQuote.Functions.MSNStockQuote($A71,"ask Price","US")</f>
        <v>87.790000915527301</v>
      </c>
      <c r="D71" s="52">
        <v>85</v>
      </c>
      <c r="E71" s="53" t="str">
        <f t="shared" si="18"/>
        <v>85.0</v>
      </c>
      <c r="F71" s="54">
        <v>12</v>
      </c>
      <c r="G71" s="54">
        <v>10</v>
      </c>
      <c r="H71" s="55" t="str">
        <f t="shared" si="19"/>
        <v>\10L18\</v>
      </c>
      <c r="I71" s="56" t="str">
        <f t="shared" si="20"/>
        <v>.NVO\10L18\85.0</v>
      </c>
      <c r="J71" s="57">
        <f>_xll.MSNStockQuote.Functions.MSNStockQuote($I71,"Bid Price","US")</f>
        <v>0</v>
      </c>
      <c r="K71" s="55">
        <f t="shared" ca="1" si="21"/>
        <v>151.45289317129937</v>
      </c>
      <c r="L71" s="57">
        <f t="shared" si="22"/>
        <v>87.790000915527301</v>
      </c>
      <c r="M71" s="58">
        <f t="shared" si="23"/>
        <v>0</v>
      </c>
      <c r="N71" s="57">
        <f t="shared" si="24"/>
        <v>-2.7900009155273011</v>
      </c>
      <c r="O71" s="59">
        <f t="shared" si="25"/>
        <v>-3.1780395106862758E-2</v>
      </c>
      <c r="P71" s="59">
        <f t="shared" ca="1" si="26"/>
        <v>-7.6590443213818388E-2</v>
      </c>
      <c r="Q71" s="2" t="str">
        <f>TEXT(0.4, "#,##0.00")</f>
        <v>0.40</v>
      </c>
      <c r="R71" s="2" t="str">
        <f>TEXT(0.5, "#,##0.0")</f>
        <v>0.5</v>
      </c>
      <c r="S71" s="2" t="str">
        <f>TEXT(-1.85, "#,##0.00")</f>
        <v>-1.85</v>
      </c>
      <c r="T71" s="2">
        <v>214</v>
      </c>
      <c r="U71" s="2" t="str">
        <f>TEXT(-38.7, "#,##0.0")</f>
        <v>-38.7</v>
      </c>
      <c r="V71" s="2">
        <v>98</v>
      </c>
      <c r="W71" s="2">
        <v>90</v>
      </c>
      <c r="X71" s="2">
        <v>89</v>
      </c>
      <c r="Y71" s="2" t="s">
        <v>26</v>
      </c>
      <c r="Z71" s="2" t="s">
        <v>35</v>
      </c>
      <c r="AA71" s="2" t="s">
        <v>32</v>
      </c>
      <c r="AB71" s="2">
        <v>29</v>
      </c>
      <c r="AC71" s="2">
        <v>6</v>
      </c>
      <c r="AD71" s="2" t="s">
        <v>39</v>
      </c>
      <c r="AE71" s="2">
        <v>14</v>
      </c>
      <c r="AF71" s="2">
        <v>11</v>
      </c>
      <c r="AG71" s="2" t="str">
        <f>TEXT(30.8, "#,##0.0")</f>
        <v>30.8</v>
      </c>
      <c r="AH71" s="2" t="str">
        <f>TEXT(27.9, "#,##0.0")</f>
        <v>27.9</v>
      </c>
      <c r="AI71" s="2">
        <v>0</v>
      </c>
      <c r="AJ71" s="2">
        <v>2</v>
      </c>
      <c r="AK71" s="2">
        <v>69</v>
      </c>
    </row>
    <row r="72" spans="1:37">
      <c r="A72" s="60" t="s">
        <v>64</v>
      </c>
      <c r="B72" s="60" t="s">
        <v>65</v>
      </c>
      <c r="C72" s="57">
        <f>_xll.MSNStockQuote.Functions.MSNStockQuote($A72,"ask Price","US")</f>
        <v>17.4799995422363</v>
      </c>
      <c r="D72" s="52">
        <v>20</v>
      </c>
      <c r="E72" s="53" t="str">
        <f t="shared" si="18"/>
        <v>20.0</v>
      </c>
      <c r="F72" s="54">
        <v>1</v>
      </c>
      <c r="G72" s="54">
        <v>11</v>
      </c>
      <c r="H72" s="55" t="str">
        <f t="shared" si="19"/>
        <v>\11A22\</v>
      </c>
      <c r="I72" s="56" t="str">
        <f t="shared" si="20"/>
        <v>.SWKS\11A22\20.0</v>
      </c>
      <c r="J72" s="57">
        <f>_xll.MSNStockQuote.Functions.MSNStockQuote($I72,"Bid Price","US")</f>
        <v>0</v>
      </c>
      <c r="K72" s="55">
        <f t="shared" ca="1" si="21"/>
        <v>186.45289317129937</v>
      </c>
      <c r="L72" s="57">
        <f t="shared" si="22"/>
        <v>17.4799995422363</v>
      </c>
      <c r="M72" s="58">
        <f t="shared" si="23"/>
        <v>0</v>
      </c>
      <c r="N72" s="57">
        <f t="shared" si="24"/>
        <v>0</v>
      </c>
      <c r="O72" s="59">
        <f t="shared" si="25"/>
        <v>0</v>
      </c>
      <c r="P72" s="59">
        <f t="shared" ca="1" si="26"/>
        <v>0</v>
      </c>
      <c r="Q72" s="2" t="str">
        <f>TEXT(0.34, "#,##0.00")</f>
        <v>0.34</v>
      </c>
      <c r="R72" s="2" t="str">
        <f>TEXT(2, "#,##0.0")</f>
        <v>2.0</v>
      </c>
      <c r="S72" s="2" t="str">
        <f>TEXT(-6.22, "#,##0.00")</f>
        <v>-6.22</v>
      </c>
      <c r="T72" s="2">
        <v>4726</v>
      </c>
      <c r="U72" s="2" t="str">
        <f>TEXT(-35.9, "#,##0.0")</f>
        <v>-35.9</v>
      </c>
      <c r="V72" s="2">
        <v>99</v>
      </c>
      <c r="W72" s="2">
        <v>98</v>
      </c>
      <c r="X72" s="2">
        <v>90</v>
      </c>
      <c r="Y72" s="2" t="s">
        <v>26</v>
      </c>
      <c r="Z72" s="2" t="s">
        <v>38</v>
      </c>
      <c r="AA72" s="2" t="s">
        <v>27</v>
      </c>
      <c r="AB72" s="2">
        <v>100</v>
      </c>
      <c r="AC72" s="2">
        <v>59</v>
      </c>
      <c r="AD72" s="2">
        <v>88</v>
      </c>
      <c r="AE72" s="2">
        <v>67</v>
      </c>
      <c r="AF72" s="2">
        <v>38</v>
      </c>
      <c r="AG72" s="2" t="str">
        <f>TEXT(11.4, "#,##0.0")</f>
        <v>11.4</v>
      </c>
      <c r="AH72" s="2" t="str">
        <f>TEXT(14.8, "#,##0.0")</f>
        <v>14.8</v>
      </c>
      <c r="AI72" s="2">
        <v>3</v>
      </c>
      <c r="AJ72" s="2">
        <v>5</v>
      </c>
      <c r="AK72" s="2">
        <v>19</v>
      </c>
    </row>
    <row r="73" spans="1:37">
      <c r="A73" s="60" t="s">
        <v>178</v>
      </c>
      <c r="B73" s="60" t="s">
        <v>179</v>
      </c>
      <c r="C73" s="57">
        <f>_xll.MSNStockQuote.Functions.MSNStockQuote($A73,"ask Price","US")</f>
        <v>28.110000610351602</v>
      </c>
      <c r="D73" s="52">
        <v>30</v>
      </c>
      <c r="E73" s="53" t="str">
        <f t="shared" si="18"/>
        <v>30.0</v>
      </c>
      <c r="F73" s="54">
        <v>12</v>
      </c>
      <c r="G73" s="54">
        <v>10</v>
      </c>
      <c r="H73" s="55" t="str">
        <f t="shared" si="19"/>
        <v>\10L18\</v>
      </c>
      <c r="I73" s="56" t="str">
        <f t="shared" si="20"/>
        <v>.XLNX\10L18\30.0</v>
      </c>
      <c r="J73" s="57">
        <f>_xll.MSNStockQuote.Functions.MSNStockQuote($I73,"Bid Price","US")</f>
        <v>0</v>
      </c>
      <c r="K73" s="55">
        <f t="shared" ca="1" si="21"/>
        <v>151.45289317129937</v>
      </c>
      <c r="L73" s="57">
        <f t="shared" si="22"/>
        <v>28.110000610351602</v>
      </c>
      <c r="M73" s="58">
        <f t="shared" si="23"/>
        <v>0</v>
      </c>
      <c r="N73" s="57">
        <f t="shared" si="24"/>
        <v>0</v>
      </c>
      <c r="O73" s="59">
        <f t="shared" si="25"/>
        <v>0</v>
      </c>
      <c r="P73" s="59">
        <f t="shared" ca="1" si="26"/>
        <v>0</v>
      </c>
      <c r="Q73" s="2" t="str">
        <f>TEXT(0.8, "#,##0.00")</f>
        <v>0.80</v>
      </c>
      <c r="R73" s="2" t="str">
        <f>TEXT(2.9, "#,##0.0")</f>
        <v>2.9</v>
      </c>
      <c r="S73" s="2" t="str">
        <f>TEXT(-0.57, "#,##0.00")</f>
        <v>-0.57</v>
      </c>
      <c r="T73" s="2">
        <v>9450</v>
      </c>
      <c r="U73" s="2" t="str">
        <f>TEXT(7.1, "#,##0.0")</f>
        <v>7.1</v>
      </c>
      <c r="V73" s="2">
        <v>98</v>
      </c>
      <c r="W73" s="2">
        <v>92</v>
      </c>
      <c r="X73" s="2">
        <v>81</v>
      </c>
      <c r="Y73" s="2" t="s">
        <v>26</v>
      </c>
      <c r="Z73" s="2" t="s">
        <v>27</v>
      </c>
      <c r="AA73" s="2" t="s">
        <v>36</v>
      </c>
      <c r="AB73" s="2">
        <v>68</v>
      </c>
      <c r="AC73" s="2">
        <v>25</v>
      </c>
      <c r="AD73" s="2">
        <v>152</v>
      </c>
      <c r="AE73" s="2">
        <v>58</v>
      </c>
      <c r="AF73" s="2">
        <v>34</v>
      </c>
      <c r="AG73" s="2" t="str">
        <f>TEXT(18.1, "#,##0.0")</f>
        <v>18.1</v>
      </c>
      <c r="AH73" s="2" t="str">
        <f>TEXT(25.1, "#,##0.0")</f>
        <v>25.1</v>
      </c>
      <c r="AI73" s="2">
        <v>1</v>
      </c>
      <c r="AJ73" s="2">
        <v>0</v>
      </c>
      <c r="AK73" s="2">
        <v>89</v>
      </c>
    </row>
    <row r="74" spans="1:37">
      <c r="A74" s="60" t="s">
        <v>156</v>
      </c>
      <c r="B74" s="60" t="s">
        <v>157</v>
      </c>
      <c r="C74" s="57">
        <f>_xll.MSNStockQuote.Functions.MSNStockQuote($A74,"ask Price","US")</f>
        <v>48.849998474121101</v>
      </c>
      <c r="D74" s="52">
        <v>45</v>
      </c>
      <c r="E74" s="53" t="str">
        <f t="shared" si="18"/>
        <v>45.0</v>
      </c>
      <c r="F74" s="54">
        <v>2</v>
      </c>
      <c r="G74" s="54">
        <v>11</v>
      </c>
      <c r="H74" s="55" t="str">
        <f t="shared" si="19"/>
        <v>\11B19\</v>
      </c>
      <c r="I74" s="56" t="str">
        <f t="shared" si="20"/>
        <v>.ORLY\11B19\45.0</v>
      </c>
      <c r="J74" s="57">
        <f>_xll.MSNStockQuote.Functions.MSNStockQuote($I74,"Bid Price","US")</f>
        <v>0</v>
      </c>
      <c r="K74" s="55">
        <f t="shared" ca="1" si="21"/>
        <v>214.45289317129937</v>
      </c>
      <c r="L74" s="57">
        <f t="shared" si="22"/>
        <v>48.849998474121101</v>
      </c>
      <c r="M74" s="58">
        <f t="shared" si="23"/>
        <v>0</v>
      </c>
      <c r="N74" s="57">
        <f t="shared" si="24"/>
        <v>-3.8499984741211009</v>
      </c>
      <c r="O74" s="59">
        <f t="shared" si="25"/>
        <v>-7.8812663139809225E-2</v>
      </c>
      <c r="P74" s="59">
        <f t="shared" ca="1" si="26"/>
        <v>-0.1341395847854211</v>
      </c>
      <c r="Q74" s="2" t="str">
        <f>TEXT(1.41, "#,##0.00")</f>
        <v>1.41</v>
      </c>
      <c r="R74" s="2" t="str">
        <f>TEXT(3.1, "#,##0.0")</f>
        <v>3.1</v>
      </c>
      <c r="S74" s="2" t="str">
        <f>TEXT(-10.66, "#,##0.00")</f>
        <v>-10.66</v>
      </c>
      <c r="T74" s="2">
        <v>1607</v>
      </c>
      <c r="U74" s="2" t="str">
        <f>TEXT(-2.7, "#,##0.0")</f>
        <v>-2.7</v>
      </c>
      <c r="V74" s="2">
        <v>96</v>
      </c>
      <c r="W74" s="2">
        <v>93</v>
      </c>
      <c r="X74" s="2">
        <v>84</v>
      </c>
      <c r="Y74" s="2" t="s">
        <v>26</v>
      </c>
      <c r="Z74" s="2" t="s">
        <v>78</v>
      </c>
      <c r="AA74" s="2" t="s">
        <v>36</v>
      </c>
      <c r="AB74" s="2">
        <v>49</v>
      </c>
      <c r="AC74" s="2">
        <v>41</v>
      </c>
      <c r="AD74" s="2">
        <v>17</v>
      </c>
      <c r="AE74" s="2">
        <v>23</v>
      </c>
      <c r="AF74" s="2">
        <v>10</v>
      </c>
      <c r="AG74" s="2" t="str">
        <f>TEXT(12.5, "#,##0.0")</f>
        <v>12.5</v>
      </c>
      <c r="AH74" s="2" t="str">
        <f>TEXT(10.3, "#,##0.0")</f>
        <v>10.3</v>
      </c>
      <c r="AI74" s="2">
        <v>5</v>
      </c>
      <c r="AJ74" s="2">
        <v>0</v>
      </c>
      <c r="AK74" s="2">
        <v>77</v>
      </c>
    </row>
    <row r="75" spans="1:37">
      <c r="A75" s="60" t="s">
        <v>44</v>
      </c>
      <c r="B75" s="60" t="s">
        <v>45</v>
      </c>
      <c r="C75" s="57">
        <f>_xll.MSNStockQuote.Functions.MSNStockQuote($A75,"ask Price","US")</f>
        <v>46.549999237060497</v>
      </c>
      <c r="D75" s="52">
        <v>45</v>
      </c>
      <c r="E75" s="53" t="str">
        <f t="shared" si="18"/>
        <v>45.0</v>
      </c>
      <c r="F75" s="54">
        <v>12</v>
      </c>
      <c r="G75" s="54">
        <v>10</v>
      </c>
      <c r="H75" s="55" t="str">
        <f t="shared" si="19"/>
        <v>\10L18\</v>
      </c>
      <c r="I75" s="56" t="str">
        <f t="shared" si="20"/>
        <v>.WPZ\10L18\45.0</v>
      </c>
      <c r="J75" s="57">
        <f>_xll.MSNStockQuote.Functions.MSNStockQuote($I75,"Bid Price","US")</f>
        <v>0</v>
      </c>
      <c r="K75" s="55">
        <f t="shared" ca="1" si="21"/>
        <v>151.45289317129937</v>
      </c>
      <c r="L75" s="57">
        <f t="shared" si="22"/>
        <v>46.549999237060497</v>
      </c>
      <c r="M75" s="58">
        <f t="shared" si="23"/>
        <v>0</v>
      </c>
      <c r="N75" s="57">
        <f t="shared" si="24"/>
        <v>-1.5499992370604971</v>
      </c>
      <c r="O75" s="59">
        <f t="shared" si="25"/>
        <v>-3.3297513694188735E-2</v>
      </c>
      <c r="P75" s="59">
        <f t="shared" ca="1" si="26"/>
        <v>-8.0246684258667031E-2</v>
      </c>
      <c r="Q75" s="4" t="str">
        <f>TEXT(0.15, "#,##0.00")</f>
        <v>0.15</v>
      </c>
      <c r="R75" s="4" t="str">
        <f>TEXT(0.3, "#,##0.0")</f>
        <v>0.3</v>
      </c>
      <c r="S75" s="4" t="str">
        <f>TEXT(-2.67, "#,##0.00")</f>
        <v>-2.67</v>
      </c>
      <c r="T75" s="4">
        <v>437</v>
      </c>
      <c r="U75" s="4" t="str">
        <f>TEXT(19.6, "#,##0.0")</f>
        <v>19.6</v>
      </c>
      <c r="V75" s="4">
        <v>99</v>
      </c>
      <c r="W75" s="4">
        <v>98</v>
      </c>
      <c r="X75" s="4">
        <v>96</v>
      </c>
      <c r="Y75" s="4" t="s">
        <v>26</v>
      </c>
      <c r="Z75" s="4" t="s">
        <v>27</v>
      </c>
      <c r="AA75" s="4" t="s">
        <v>26</v>
      </c>
      <c r="AB75" s="4">
        <v>69</v>
      </c>
      <c r="AC75" s="4">
        <v>560</v>
      </c>
      <c r="AD75" s="4">
        <v>67</v>
      </c>
      <c r="AE75" s="4">
        <v>4</v>
      </c>
      <c r="AF75" s="4">
        <v>52</v>
      </c>
      <c r="AG75" s="4" t="str">
        <f>TEXT(147.9, "#,##0.0")</f>
        <v>147.9</v>
      </c>
      <c r="AH75" s="4" t="str">
        <f>TEXT(32.4, "#,##0.0")</f>
        <v>32.4</v>
      </c>
      <c r="AI75" s="4">
        <v>0</v>
      </c>
      <c r="AJ75" s="4">
        <v>0</v>
      </c>
      <c r="AK75" s="4">
        <v>8</v>
      </c>
    </row>
    <row r="76" spans="1:37">
      <c r="A76" s="60" t="s">
        <v>152</v>
      </c>
      <c r="B76" s="60" t="s">
        <v>153</v>
      </c>
      <c r="C76" s="57">
        <f>_xll.MSNStockQuote.Functions.MSNStockQuote($A76,"ask Price","US")</f>
        <v>52.299999237060497</v>
      </c>
      <c r="D76" s="52">
        <v>55</v>
      </c>
      <c r="E76" s="53" t="str">
        <f t="shared" si="18"/>
        <v>55.0</v>
      </c>
      <c r="F76" s="54">
        <v>1</v>
      </c>
      <c r="G76" s="54">
        <v>11</v>
      </c>
      <c r="H76" s="55" t="str">
        <f t="shared" si="19"/>
        <v>\11A22\</v>
      </c>
      <c r="I76" s="56" t="str">
        <f t="shared" si="20"/>
        <v>.AOS\11A22\55.0</v>
      </c>
      <c r="J76" s="57">
        <f>_xll.MSNStockQuote.Functions.MSNStockQuote($I76,"Bid Price","US")</f>
        <v>0</v>
      </c>
      <c r="K76" s="55">
        <f t="shared" ca="1" si="21"/>
        <v>186.45289317129937</v>
      </c>
      <c r="L76" s="57">
        <f t="shared" si="22"/>
        <v>52.299999237060497</v>
      </c>
      <c r="M76" s="58">
        <f t="shared" si="23"/>
        <v>0</v>
      </c>
      <c r="N76" s="57">
        <f t="shared" si="24"/>
        <v>0</v>
      </c>
      <c r="O76" s="59">
        <f t="shared" si="25"/>
        <v>0</v>
      </c>
      <c r="P76" s="59">
        <f t="shared" ca="1" si="26"/>
        <v>0</v>
      </c>
      <c r="Q76" s="2" t="str">
        <f>TEXT(2.27, "#,##0.00")</f>
        <v>2.27</v>
      </c>
      <c r="R76" s="2" t="str">
        <f>TEXT(4.4, "#,##0.0")</f>
        <v>4.4</v>
      </c>
      <c r="S76" s="2" t="str">
        <f>TEXT(-8.56, "#,##0.00")</f>
        <v>-8.56</v>
      </c>
      <c r="T76" s="2">
        <v>333</v>
      </c>
      <c r="U76" s="2" t="str">
        <f>TEXT(-12.5, "#,##0.0")</f>
        <v>-12.5</v>
      </c>
      <c r="V76" s="2">
        <v>94</v>
      </c>
      <c r="W76" s="2">
        <v>95</v>
      </c>
      <c r="X76" s="2">
        <v>84</v>
      </c>
      <c r="Y76" s="2" t="s">
        <v>37</v>
      </c>
      <c r="Z76" s="2" t="s">
        <v>37</v>
      </c>
      <c r="AA76" s="2" t="s">
        <v>26</v>
      </c>
      <c r="AB76" s="2">
        <v>248</v>
      </c>
      <c r="AC76" s="2">
        <v>185</v>
      </c>
      <c r="AD76" s="2">
        <v>6</v>
      </c>
      <c r="AE76" s="2">
        <v>29</v>
      </c>
      <c r="AF76" s="2">
        <v>9</v>
      </c>
      <c r="AG76" s="2" t="str">
        <f>TEXT(17.1, "#,##0.0")</f>
        <v>17.1</v>
      </c>
      <c r="AH76" s="2" t="str">
        <f>TEXT(6.6, "#,##0.0")</f>
        <v>6.6</v>
      </c>
      <c r="AI76" s="2">
        <v>7</v>
      </c>
      <c r="AJ76" s="2">
        <v>0</v>
      </c>
      <c r="AK76" s="2">
        <v>75</v>
      </c>
    </row>
    <row r="77" spans="1:37">
      <c r="A77" s="60" t="s">
        <v>186</v>
      </c>
      <c r="B77" s="60" t="s">
        <v>187</v>
      </c>
      <c r="C77" s="57">
        <f>_xll.MSNStockQuote.Functions.MSNStockQuote($A77,"ask Price","US")</f>
        <v>2000</v>
      </c>
      <c r="D77" s="52">
        <v>50</v>
      </c>
      <c r="E77" s="53" t="str">
        <f t="shared" si="18"/>
        <v>50.0</v>
      </c>
      <c r="F77" s="54">
        <v>1</v>
      </c>
      <c r="G77" s="54">
        <v>11</v>
      </c>
      <c r="H77" s="55" t="str">
        <f t="shared" si="19"/>
        <v>\11A22\</v>
      </c>
      <c r="I77" s="56" t="str">
        <f t="shared" si="20"/>
        <v>.LSTZA\11A22\50.0</v>
      </c>
      <c r="J77" s="57">
        <f>_xll.MSNStockQuote.Functions.MSNStockQuote($I77,"Bid Price","US")</f>
        <v>0</v>
      </c>
      <c r="K77" s="55">
        <f t="shared" ca="1" si="21"/>
        <v>186.45289317129937</v>
      </c>
      <c r="L77" s="57">
        <f t="shared" si="22"/>
        <v>2000</v>
      </c>
      <c r="M77" s="58">
        <f t="shared" si="23"/>
        <v>0</v>
      </c>
      <c r="N77" s="57">
        <f t="shared" si="24"/>
        <v>-1950</v>
      </c>
      <c r="O77" s="59">
        <f t="shared" si="25"/>
        <v>-0.97499999999999998</v>
      </c>
      <c r="P77" s="59">
        <f t="shared" ca="1" si="26"/>
        <v>-1.9086590395411451</v>
      </c>
      <c r="Q77" s="2" t="str">
        <f>TEXT(0.32, "#,##0.00")</f>
        <v>0.32</v>
      </c>
      <c r="R77" s="2" t="str">
        <f>TEXT(0.6, "#,##0.0")</f>
        <v>0.6</v>
      </c>
      <c r="S77" s="2" t="str">
        <f>TEXT(-6.23, "#,##0.00")</f>
        <v>-6.23</v>
      </c>
      <c r="T77" s="2">
        <v>225</v>
      </c>
      <c r="U77" s="2" t="str">
        <f>TEXT(-17.4, "#,##0.0")</f>
        <v>-17.4</v>
      </c>
      <c r="V77" s="2">
        <v>92</v>
      </c>
      <c r="W77" s="2">
        <v>84</v>
      </c>
      <c r="X77" s="2">
        <v>92</v>
      </c>
      <c r="Y77" s="2" t="s">
        <v>35</v>
      </c>
      <c r="Z77" s="2" t="s">
        <v>85</v>
      </c>
      <c r="AA77" s="2" t="s">
        <v>32</v>
      </c>
      <c r="AB77" s="2">
        <v>817</v>
      </c>
      <c r="AC77" s="2" t="s">
        <v>39</v>
      </c>
      <c r="AD77" s="2">
        <v>845</v>
      </c>
      <c r="AE77" s="2">
        <v>791</v>
      </c>
      <c r="AF77" s="2">
        <v>3</v>
      </c>
      <c r="AG77" s="2" t="str">
        <f>TEXT(3.5, "#,##0.0")</f>
        <v>3.5</v>
      </c>
      <c r="AH77" s="2" t="str">
        <f>TEXT(24.8, "#,##0.0")</f>
        <v>24.8</v>
      </c>
      <c r="AI77" s="2">
        <v>2</v>
      </c>
      <c r="AJ77" s="2">
        <v>0</v>
      </c>
      <c r="AK77" s="2">
        <v>95</v>
      </c>
    </row>
    <row r="78" spans="1:37">
      <c r="A78" s="60" t="s">
        <v>102</v>
      </c>
      <c r="B78" s="60" t="s">
        <v>103</v>
      </c>
      <c r="C78" s="57">
        <f>_xll.MSNStockQuote.Functions.MSNStockQuote($A78,"ask Price","US")</f>
        <v>30.25</v>
      </c>
      <c r="D78" s="52">
        <v>30</v>
      </c>
      <c r="E78" s="53" t="str">
        <f t="shared" si="18"/>
        <v>30.0</v>
      </c>
      <c r="F78" s="54">
        <v>12</v>
      </c>
      <c r="G78" s="54">
        <v>10</v>
      </c>
      <c r="H78" s="55" t="str">
        <f t="shared" si="19"/>
        <v>\10L18\</v>
      </c>
      <c r="I78" s="56" t="str">
        <f t="shared" si="20"/>
        <v>.EPB\10L18\30.0</v>
      </c>
      <c r="J78" s="57">
        <f>_xll.MSNStockQuote.Functions.MSNStockQuote($I78,"Bid Price","US")</f>
        <v>0</v>
      </c>
      <c r="K78" s="55">
        <f t="shared" ca="1" si="21"/>
        <v>151.45289317129937</v>
      </c>
      <c r="L78" s="57">
        <f t="shared" si="22"/>
        <v>30.25</v>
      </c>
      <c r="M78" s="58">
        <f t="shared" si="23"/>
        <v>0</v>
      </c>
      <c r="N78" s="57">
        <f t="shared" si="24"/>
        <v>-0.25</v>
      </c>
      <c r="O78" s="59">
        <f t="shared" si="25"/>
        <v>-8.2644628099173556E-3</v>
      </c>
      <c r="P78" s="59">
        <f t="shared" ca="1" si="26"/>
        <v>-1.9917275018365072E-2</v>
      </c>
      <c r="Q78" s="4" t="str">
        <f>TEXT(0.22, "#,##0.00")</f>
        <v>0.22</v>
      </c>
      <c r="R78" s="4" t="str">
        <f>TEXT(0.7, "#,##0.0")</f>
        <v>0.7</v>
      </c>
      <c r="S78" s="4" t="str">
        <f>TEXT(-4.45, "#,##0.00")</f>
        <v>-4.45</v>
      </c>
      <c r="T78" s="4">
        <v>549</v>
      </c>
      <c r="U78" s="4" t="str">
        <f>TEXT(7.7, "#,##0.0")</f>
        <v>7.7</v>
      </c>
      <c r="V78" s="4">
        <v>99</v>
      </c>
      <c r="W78" s="4">
        <v>96</v>
      </c>
      <c r="X78" s="4">
        <v>87</v>
      </c>
      <c r="Y78" s="4" t="s">
        <v>26</v>
      </c>
      <c r="Z78" s="4" t="s">
        <v>27</v>
      </c>
      <c r="AA78" s="4" t="s">
        <v>26</v>
      </c>
      <c r="AB78" s="4">
        <v>33</v>
      </c>
      <c r="AC78" s="4">
        <v>27</v>
      </c>
      <c r="AD78" s="4">
        <v>16</v>
      </c>
      <c r="AE78" s="4">
        <v>23</v>
      </c>
      <c r="AF78" s="4">
        <v>23</v>
      </c>
      <c r="AG78" s="4" t="str">
        <f>TEXT(26.6, "#,##0.0")</f>
        <v>26.6</v>
      </c>
      <c r="AH78" s="4" t="str">
        <f>TEXT(54, "#,##0.0")</f>
        <v>54.0</v>
      </c>
      <c r="AI78" s="4">
        <v>0</v>
      </c>
      <c r="AJ78" s="4">
        <v>0</v>
      </c>
      <c r="AK78" s="4">
        <v>40</v>
      </c>
    </row>
    <row r="79" spans="1:37">
      <c r="A79" s="60" t="s">
        <v>122</v>
      </c>
      <c r="B79" s="60" t="s">
        <v>123</v>
      </c>
      <c r="C79" s="57">
        <f>_xll.MSNStockQuote.Functions.MSNStockQuote($A79,"ask Price","US")</f>
        <v>28.25</v>
      </c>
      <c r="D79" s="52">
        <v>25</v>
      </c>
      <c r="E79" s="53" t="str">
        <f t="shared" si="18"/>
        <v>25.0</v>
      </c>
      <c r="F79" s="54">
        <v>12</v>
      </c>
      <c r="G79" s="54">
        <v>10</v>
      </c>
      <c r="H79" s="55" t="str">
        <f t="shared" si="19"/>
        <v>\10L18\</v>
      </c>
      <c r="I79" s="56" t="str">
        <f t="shared" si="20"/>
        <v>.NGLS\10L18\25.0</v>
      </c>
      <c r="J79" s="57">
        <f>_xll.MSNStockQuote.Functions.MSNStockQuote($I79,"Bid Price","US")</f>
        <v>0</v>
      </c>
      <c r="K79" s="55">
        <f t="shared" ca="1" si="21"/>
        <v>151.45289317129937</v>
      </c>
      <c r="L79" s="57">
        <f t="shared" si="22"/>
        <v>28.25</v>
      </c>
      <c r="M79" s="58">
        <f t="shared" si="23"/>
        <v>0</v>
      </c>
      <c r="N79" s="57">
        <f t="shared" si="24"/>
        <v>-3.25</v>
      </c>
      <c r="O79" s="59">
        <f t="shared" si="25"/>
        <v>-0.11504424778761062</v>
      </c>
      <c r="P79" s="59">
        <f t="shared" ca="1" si="26"/>
        <v>-0.27725551861848013</v>
      </c>
      <c r="Q79" s="4" t="str">
        <f>TEXT(0.34, "#,##0.00")</f>
        <v>0.34</v>
      </c>
      <c r="R79" s="4" t="str">
        <f>TEXT(1.3, "#,##0.0")</f>
        <v>1.3</v>
      </c>
      <c r="S79" s="4" t="str">
        <f>TEXT(-8.11, "#,##0.00")</f>
        <v>-8.11</v>
      </c>
      <c r="T79" s="4">
        <v>408</v>
      </c>
      <c r="U79" s="4" t="str">
        <f>TEXT(-24.2, "#,##0.0")</f>
        <v>-24.2</v>
      </c>
      <c r="V79" s="4">
        <v>94</v>
      </c>
      <c r="W79" s="4">
        <v>95</v>
      </c>
      <c r="X79" s="4">
        <v>88</v>
      </c>
      <c r="Y79" s="4" t="s">
        <v>56</v>
      </c>
      <c r="Z79" s="4" t="s">
        <v>27</v>
      </c>
      <c r="AA79" s="4" t="s">
        <v>38</v>
      </c>
      <c r="AB79" s="4" t="s">
        <v>39</v>
      </c>
      <c r="AC79" s="4">
        <v>17</v>
      </c>
      <c r="AD79" s="4">
        <v>1000</v>
      </c>
      <c r="AE79" s="4">
        <v>79</v>
      </c>
      <c r="AF79" s="4">
        <v>47</v>
      </c>
      <c r="AG79" s="4" t="str">
        <f>TEXT(7.6, "#,##0.0")</f>
        <v>7.6</v>
      </c>
      <c r="AH79" s="4" t="str">
        <f>TEXT(1.3, "#,##0.0")</f>
        <v>1.3</v>
      </c>
      <c r="AI79" s="4">
        <v>0</v>
      </c>
      <c r="AJ79" s="4">
        <v>0</v>
      </c>
      <c r="AK79" s="4">
        <v>52</v>
      </c>
    </row>
    <row r="81" spans="1:1">
      <c r="A81" t="s">
        <v>194</v>
      </c>
    </row>
    <row r="83" spans="1:1">
      <c r="A83" s="5" t="s">
        <v>195</v>
      </c>
    </row>
    <row r="85" spans="1:1" ht="45" customHeight="1">
      <c r="A85" s="6" t="s">
        <v>196</v>
      </c>
    </row>
  </sheetData>
  <sortState ref="A2:AK79">
    <sortCondition descending="1" ref="P4"/>
  </sortState>
  <pageMargins left="0.75" right="0.75" top="1" bottom="1" header="0.5" footer="0.5"/>
  <pageSetup orientation="portrait" horizontalDpi="0" verticalDpi="0" r:id="rId1"/>
  <legacyDrawing r:id="rId2"/>
  <controls>
    <control shapeId="1025" r:id="rId3" name="Control 1"/>
  </controls>
</worksheet>
</file>

<file path=xl/worksheets/sheet2.xml><?xml version="1.0" encoding="utf-8"?>
<worksheet xmlns="http://schemas.openxmlformats.org/spreadsheetml/2006/main" xmlns:r="http://schemas.openxmlformats.org/officeDocument/2006/relationships">
  <dimension ref="A1:K21"/>
  <sheetViews>
    <sheetView workbookViewId="0">
      <selection activeCell="F24" sqref="F24"/>
    </sheetView>
  </sheetViews>
  <sheetFormatPr defaultRowHeight="15"/>
  <cols>
    <col min="9" max="9" width="11.140625" bestFit="1" customWidth="1"/>
  </cols>
  <sheetData>
    <row r="1" spans="1:11">
      <c r="A1" s="7"/>
      <c r="B1" s="7"/>
      <c r="C1" s="7"/>
      <c r="D1" s="7"/>
      <c r="E1" s="7"/>
      <c r="F1" s="7"/>
      <c r="G1" s="7"/>
    </row>
    <row r="2" spans="1:11">
      <c r="A2" s="8"/>
      <c r="B2" s="9"/>
      <c r="C2" s="9"/>
      <c r="D2" s="9"/>
      <c r="E2" s="9"/>
      <c r="F2" s="9"/>
      <c r="G2" s="9"/>
    </row>
    <row r="3" spans="1:11" ht="15.75" thickBot="1">
      <c r="A3" s="8"/>
      <c r="B3" s="10" t="s">
        <v>197</v>
      </c>
      <c r="C3" s="10" t="s">
        <v>198</v>
      </c>
      <c r="D3" s="11"/>
      <c r="E3" s="10"/>
      <c r="F3" s="10"/>
      <c r="G3" s="12"/>
      <c r="H3" s="10" t="s">
        <v>198</v>
      </c>
      <c r="I3" s="11"/>
      <c r="J3" s="10"/>
      <c r="K3" s="10"/>
    </row>
    <row r="4" spans="1:11">
      <c r="A4" s="8"/>
      <c r="B4" s="13"/>
      <c r="C4" s="14"/>
      <c r="D4" s="15">
        <v>2010</v>
      </c>
      <c r="E4" s="15">
        <v>2011</v>
      </c>
      <c r="F4" s="16">
        <v>2012</v>
      </c>
      <c r="G4" s="9"/>
      <c r="H4" s="17"/>
      <c r="I4" s="15">
        <v>2010</v>
      </c>
      <c r="J4" s="15">
        <v>2011</v>
      </c>
      <c r="K4" s="16">
        <v>2012</v>
      </c>
    </row>
    <row r="5" spans="1:11">
      <c r="A5" s="8"/>
      <c r="B5" s="18" t="s">
        <v>26</v>
      </c>
      <c r="C5" s="19">
        <v>1</v>
      </c>
      <c r="D5" s="20"/>
      <c r="E5" s="21" t="s">
        <v>199</v>
      </c>
      <c r="F5" s="22" t="s">
        <v>200</v>
      </c>
      <c r="G5" s="23"/>
      <c r="H5" s="24">
        <v>1</v>
      </c>
      <c r="I5" s="25"/>
      <c r="J5" s="26">
        <v>40565</v>
      </c>
      <c r="K5" s="27">
        <v>40929</v>
      </c>
    </row>
    <row r="6" spans="1:11">
      <c r="A6" s="8"/>
      <c r="B6" s="18" t="s">
        <v>35</v>
      </c>
      <c r="C6" s="19">
        <v>2</v>
      </c>
      <c r="D6" s="21"/>
      <c r="E6" s="28" t="s">
        <v>201</v>
      </c>
      <c r="F6" s="29"/>
      <c r="G6" s="23"/>
      <c r="H6" s="24">
        <v>2</v>
      </c>
      <c r="I6" s="26"/>
      <c r="J6" s="30">
        <v>40593</v>
      </c>
      <c r="K6" s="31"/>
    </row>
    <row r="7" spans="1:11">
      <c r="A7" s="8"/>
      <c r="B7" s="18" t="s">
        <v>37</v>
      </c>
      <c r="C7" s="19">
        <v>3</v>
      </c>
      <c r="D7" s="21"/>
      <c r="E7" s="28"/>
      <c r="F7" s="29"/>
      <c r="G7" s="23"/>
      <c r="H7" s="24">
        <v>3</v>
      </c>
      <c r="I7" s="26"/>
      <c r="J7" s="30"/>
      <c r="K7" s="31"/>
    </row>
    <row r="8" spans="1:11">
      <c r="A8" s="8"/>
      <c r="B8" s="18" t="s">
        <v>56</v>
      </c>
      <c r="C8" s="19">
        <v>4</v>
      </c>
      <c r="D8" s="21"/>
      <c r="E8" s="28"/>
      <c r="F8" s="29"/>
      <c r="G8" s="23"/>
      <c r="H8" s="24">
        <v>4</v>
      </c>
      <c r="I8" s="26"/>
      <c r="J8" s="30"/>
      <c r="K8" s="31"/>
    </row>
    <row r="9" spans="1:11">
      <c r="A9" s="8"/>
      <c r="B9" s="18" t="s">
        <v>28</v>
      </c>
      <c r="C9" s="19">
        <v>5</v>
      </c>
      <c r="D9" s="21"/>
      <c r="E9" s="28"/>
      <c r="F9" s="29"/>
      <c r="G9" s="23"/>
      <c r="H9" s="24">
        <v>5</v>
      </c>
      <c r="I9" s="26"/>
      <c r="J9" s="30"/>
      <c r="K9" s="31"/>
    </row>
    <row r="10" spans="1:11">
      <c r="A10" s="8"/>
      <c r="B10" s="18" t="s">
        <v>202</v>
      </c>
      <c r="C10" s="19">
        <v>6</v>
      </c>
      <c r="D10" s="21"/>
      <c r="E10" s="28"/>
      <c r="F10" s="29"/>
      <c r="G10" s="23"/>
      <c r="H10" s="24">
        <v>6</v>
      </c>
      <c r="I10" s="26"/>
      <c r="J10" s="30"/>
      <c r="K10" s="31"/>
    </row>
    <row r="11" spans="1:11">
      <c r="A11" s="8"/>
      <c r="B11" s="18" t="s">
        <v>203</v>
      </c>
      <c r="C11" s="19">
        <v>7</v>
      </c>
      <c r="D11" s="21" t="s">
        <v>227</v>
      </c>
      <c r="E11" s="28"/>
      <c r="F11" s="29"/>
      <c r="G11" s="23"/>
      <c r="H11" s="24">
        <v>7</v>
      </c>
      <c r="I11" s="26"/>
      <c r="J11" s="30"/>
      <c r="K11" s="31"/>
    </row>
    <row r="12" spans="1:11">
      <c r="A12" s="32"/>
      <c r="B12" s="18" t="s">
        <v>204</v>
      </c>
      <c r="C12" s="19">
        <v>8</v>
      </c>
      <c r="D12" s="21" t="s">
        <v>228</v>
      </c>
      <c r="E12" s="28"/>
      <c r="F12" s="29"/>
      <c r="G12" s="23"/>
      <c r="H12" s="24">
        <v>8</v>
      </c>
      <c r="I12" s="26"/>
      <c r="J12" s="30"/>
      <c r="K12" s="31"/>
    </row>
    <row r="13" spans="1:11">
      <c r="A13" s="32"/>
      <c r="B13" s="18" t="s">
        <v>205</v>
      </c>
      <c r="C13" s="19">
        <v>9</v>
      </c>
      <c r="D13" s="21" t="s">
        <v>229</v>
      </c>
      <c r="E13" s="28"/>
      <c r="F13" s="29"/>
      <c r="G13" s="23"/>
      <c r="H13" s="24">
        <v>9</v>
      </c>
      <c r="I13" s="26"/>
      <c r="J13" s="30"/>
      <c r="K13" s="31"/>
    </row>
    <row r="14" spans="1:11">
      <c r="A14" s="32"/>
      <c r="B14" s="18" t="s">
        <v>206</v>
      </c>
      <c r="C14" s="19">
        <v>10</v>
      </c>
      <c r="D14" s="21" t="s">
        <v>226</v>
      </c>
      <c r="E14" s="28"/>
      <c r="F14" s="29"/>
      <c r="G14" s="23"/>
      <c r="H14" s="24">
        <v>10</v>
      </c>
      <c r="I14" s="26">
        <v>40467</v>
      </c>
      <c r="J14" s="30"/>
      <c r="K14" s="31"/>
    </row>
    <row r="15" spans="1:11">
      <c r="A15" s="32"/>
      <c r="B15" s="18" t="s">
        <v>208</v>
      </c>
      <c r="C15" s="19">
        <v>11</v>
      </c>
      <c r="D15" s="21" t="s">
        <v>209</v>
      </c>
      <c r="E15" s="28"/>
      <c r="F15" s="29"/>
      <c r="G15" s="23"/>
      <c r="H15" s="24">
        <v>11</v>
      </c>
      <c r="I15" s="26">
        <v>40502</v>
      </c>
      <c r="J15" s="30"/>
      <c r="K15" s="31"/>
    </row>
    <row r="16" spans="1:11" ht="15.75" thickBot="1">
      <c r="A16" s="32"/>
      <c r="B16" s="33" t="s">
        <v>210</v>
      </c>
      <c r="C16" s="34">
        <v>12</v>
      </c>
      <c r="D16" s="35" t="s">
        <v>207</v>
      </c>
      <c r="E16" s="36"/>
      <c r="F16" s="37"/>
      <c r="G16" s="23"/>
      <c r="H16" s="38">
        <v>12</v>
      </c>
      <c r="I16" s="39">
        <v>40530</v>
      </c>
      <c r="J16" s="40"/>
      <c r="K16" s="41"/>
    </row>
    <row r="17" spans="1:7" ht="15.75" thickBot="1">
      <c r="A17" s="32"/>
      <c r="B17" s="23"/>
      <c r="C17" s="42"/>
      <c r="D17" s="43"/>
      <c r="E17" s="44"/>
      <c r="F17" s="23"/>
      <c r="G17" s="23"/>
    </row>
    <row r="18" spans="1:7">
      <c r="A18" s="32"/>
      <c r="B18" s="23"/>
      <c r="C18" s="45" t="s">
        <v>211</v>
      </c>
      <c r="D18" s="46" t="s">
        <v>212</v>
      </c>
      <c r="E18" s="44"/>
      <c r="F18" s="23"/>
      <c r="G18" s="23"/>
    </row>
    <row r="19" spans="1:7">
      <c r="A19" s="32"/>
      <c r="B19" s="23"/>
      <c r="C19" s="47">
        <v>10</v>
      </c>
      <c r="D19" s="48">
        <v>2</v>
      </c>
      <c r="E19" s="44"/>
      <c r="F19" s="23"/>
      <c r="G19" s="23"/>
    </row>
    <row r="20" spans="1:7">
      <c r="A20" s="32"/>
      <c r="B20" s="23"/>
      <c r="C20" s="47">
        <v>11</v>
      </c>
      <c r="D20" s="48">
        <v>3</v>
      </c>
      <c r="E20" s="44"/>
      <c r="F20" s="23"/>
      <c r="G20" s="23"/>
    </row>
    <row r="21" spans="1:7" ht="15.75" thickBot="1">
      <c r="A21" s="32"/>
      <c r="B21" s="23"/>
      <c r="C21" s="49">
        <v>12</v>
      </c>
      <c r="D21" s="50">
        <v>4</v>
      </c>
      <c r="E21" s="44"/>
      <c r="F21" s="23"/>
      <c r="G21"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IBD 100 1 </vt:lpstr>
      <vt:lpstr>Option Lookup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Page</dc:title>
  <dc:creator>Owner</dc:creator>
  <cp:lastModifiedBy>Ron</cp:lastModifiedBy>
  <dcterms:created xsi:type="dcterms:W3CDTF">2010-07-13T22:23:43Z</dcterms:created>
  <dcterms:modified xsi:type="dcterms:W3CDTF">2010-07-19T18:08:40Z</dcterms:modified>
</cp:coreProperties>
</file>